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8" firstSheet="1" activeTab="5"/>
  </bookViews>
  <sheets>
    <sheet name="KONSUM" sheetId="1" r:id="rId1"/>
    <sheet name="SUCHE" sheetId="2" r:id="rId2"/>
    <sheet name="Herkunft" sheetId="3" r:id="rId3"/>
    <sheet name="Adressen" sheetId="4" r:id="rId4"/>
    <sheet name="ÖFZ" sheetId="5" r:id="rId5"/>
    <sheet name="PREISE" sheetId="6" r:id="rId6"/>
    <sheet name="EStoffe" sheetId="7" r:id="rId7"/>
    <sheet name="$P,KS" sheetId="8" r:id="rId8"/>
    <sheet name="Coffein" sheetId="9" r:id="rId9"/>
    <sheet name="LSL" sheetId="10" r:id="rId10"/>
    <sheet name="NW" sheetId="11" r:id="rId11"/>
    <sheet name="SprW" sheetId="12" r:id="rId12"/>
    <sheet name="pKa" sheetId="13" r:id="rId13"/>
  </sheets>
  <definedNames>
    <definedName name="Annahof__bio_Birnen_Holunder_direkt_saft">'PREISE'!#REF!</definedName>
    <definedName name="_xlnm.Print_Area" localSheetId="5">'PREISE'!$I$2947:$O$2992</definedName>
    <definedName name="H_byodo_VK_Penne">'PREISE'!#REF!</definedName>
    <definedName name="kletzenb">'PREISE'!$I$1438</definedName>
    <definedName name="maran__PINOVA_ElStar_Topaz__u.a.__Ö">'PREISE'!#REF!</definedName>
  </definedNames>
  <calcPr fullCalcOnLoad="1"/>
</workbook>
</file>

<file path=xl/comments2.xml><?xml version="1.0" encoding="utf-8"?>
<comments xmlns="http://schemas.openxmlformats.org/spreadsheetml/2006/main">
  <authors>
    <author>wda</author>
  </authors>
  <commentList>
    <comment ref="C12" authorId="0">
      <text>
        <r>
          <rPr>
            <b/>
            <sz val="14"/>
            <color indexed="16"/>
            <rFont val="Tahoma"/>
            <family val="2"/>
          </rPr>
          <t xml:space="preserve">
in die meisten der angeführten Geschäfte komme ich gelegentlich bis öfters wieder und kann Waren mitnehmen; gebe Testmengen gratis und Kleinmengen zum Großpackungs/Sammelbestellungs-preis ab ...</t>
        </r>
        <r>
          <rPr>
            <b/>
            <sz val="14"/>
            <rFont val="Tahoma"/>
            <family val="2"/>
          </rPr>
          <t xml:space="preserve">
</t>
        </r>
        <r>
          <rPr>
            <b/>
            <u val="single"/>
            <sz val="20"/>
            <rFont val="Tahoma"/>
            <family val="2"/>
          </rPr>
          <t>ich  SUCHE:</t>
        </r>
        <r>
          <rPr>
            <sz val="20"/>
            <rFont val="Tahoma"/>
            <family val="2"/>
          </rPr>
          <t xml:space="preserve"> </t>
        </r>
        <r>
          <rPr>
            <sz val="18"/>
            <rFont val="Tahoma"/>
            <family val="2"/>
          </rPr>
          <t xml:space="preserve"> (QUELLEn in Wien fuer...)   </t>
        </r>
        <r>
          <rPr>
            <sz val="10"/>
            <rFont val="Tahoma"/>
            <family val="2"/>
          </rPr>
          <t xml:space="preserve">
</t>
        </r>
        <r>
          <rPr>
            <b/>
            <sz val="14"/>
            <rFont val="Tahoma"/>
            <family val="2"/>
          </rPr>
          <t xml:space="preserve">GUTEN! </t>
        </r>
        <r>
          <rPr>
            <b/>
            <u val="single"/>
            <sz val="14"/>
            <rFont val="Tahoma"/>
            <family val="2"/>
          </rPr>
          <t>QUIRL</t>
        </r>
        <r>
          <rPr>
            <b/>
            <sz val="10"/>
            <rFont val="Tahoma"/>
            <family val="2"/>
          </rPr>
          <t xml:space="preserve">  -- </t>
        </r>
        <r>
          <rPr>
            <b/>
            <sz val="12"/>
            <rFont val="Tahoma"/>
            <family val="2"/>
          </rPr>
          <t>bestehend aus eiem "Kopf" aus Drahtschlingen und einem (kreis)runden (eher dünnen) (bevorzugt: Holz)-Stab</t>
        </r>
        <r>
          <rPr>
            <b/>
            <sz val="10"/>
            <rFont val="Tahoma"/>
            <family val="2"/>
          </rPr>
          <t xml:space="preserve"> (alle anderen Bauarten, die ich gesehen (etwa 10), sind damit verglichen Schrott bis noch kränker.)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1"/>
            <rFont val="Tahoma"/>
            <family val="2"/>
          </rPr>
          <t xml:space="preserve">
</t>
        </r>
        <r>
          <rPr>
            <b/>
            <u val="single"/>
            <sz val="12"/>
            <rFont val="Tahoma"/>
            <family val="2"/>
          </rPr>
          <t>Kikos (Röstmais)</t>
        </r>
        <r>
          <rPr>
            <b/>
            <sz val="12"/>
            <color indexed="11"/>
            <rFont val="Tahoma"/>
            <family val="2"/>
          </rPr>
          <t xml:space="preserve"> </t>
        </r>
        <r>
          <rPr>
            <sz val="12"/>
            <color indexed="11"/>
            <rFont val="Tahoma"/>
            <family val="2"/>
          </rPr>
          <t xml:space="preserve"> </t>
        </r>
        <r>
          <rPr>
            <sz val="12"/>
            <color indexed="10"/>
            <rFont val="Tahoma"/>
            <family val="2"/>
          </rPr>
          <t>(MSG-frei</t>
        </r>
        <r>
          <rPr>
            <sz val="12"/>
            <rFont val="Tahoma"/>
            <family val="2"/>
          </rPr>
          <t xml:space="preserve">; </t>
        </r>
        <r>
          <rPr>
            <b/>
            <sz val="12"/>
            <rFont val="Tahoma"/>
            <family val="2"/>
          </rPr>
          <t>kbA</t>
        </r>
        <r>
          <rPr>
            <sz val="12"/>
            <rFont val="Tahoma"/>
            <family val="2"/>
          </rPr>
          <t xml:space="preserve"> wäre schön; "konventionelle" gibts (manchmal) im EG69 )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1"/>
            <rFont val="Tahoma"/>
            <family val="2"/>
          </rPr>
          <t xml:space="preserve">
</t>
        </r>
        <r>
          <rPr>
            <b/>
            <u val="single"/>
            <sz val="12"/>
            <rFont val="Tahoma"/>
            <family val="2"/>
          </rPr>
          <t>Lopino (Lupinentofu)</t>
        </r>
        <r>
          <rPr>
            <sz val="12"/>
            <rFont val="Tahoma"/>
            <family val="2"/>
          </rPr>
          <t xml:space="preserve">  (kbA wäre schön, weiß aber dzt. nicht mal "konventionellen")</t>
        </r>
        <r>
          <rPr>
            <b/>
            <u val="single"/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u val="single"/>
            <sz val="12"/>
            <rFont val="Tahoma"/>
            <family val="2"/>
          </rPr>
          <t>BRAUCHBARE</t>
        </r>
        <r>
          <rPr>
            <u val="single"/>
            <sz val="12"/>
            <rFont val="Tahoma"/>
            <family val="2"/>
          </rPr>
          <t xml:space="preserve"> (=VEGAN, frei von gehärteten Fetten und E-Stoffen)</t>
        </r>
        <r>
          <rPr>
            <sz val="12"/>
            <rFont val="Tahoma"/>
            <family val="2"/>
          </rPr>
          <t xml:space="preserve">   </t>
        </r>
        <r>
          <rPr>
            <b/>
            <u val="single"/>
            <sz val="12"/>
            <rFont val="Tahoma"/>
            <family val="2"/>
          </rPr>
          <t>WAFFELN</t>
        </r>
        <r>
          <rPr>
            <sz val="12"/>
            <rFont val="Tahoma"/>
            <family val="2"/>
          </rPr>
          <t xml:space="preserve">  (wie zB. die UNIDE in Gomera; siehe "Preise"; weniger sueß/sirupig als die billa-kbA)</t>
        </r>
        <r>
          <rPr>
            <b/>
            <u val="single"/>
            <sz val="8"/>
            <rFont val="Tahoma"/>
            <family val="2"/>
          </rPr>
          <t xml:space="preserve">
Bockshornklee, BLÄTTER</t>
        </r>
        <r>
          <rPr>
            <u val="single"/>
            <sz val="12"/>
            <rFont val="Tahoma"/>
            <family val="2"/>
          </rPr>
          <t xml:space="preserve">  </t>
        </r>
        <r>
          <rPr>
            <u val="single"/>
            <sz val="12"/>
            <color indexed="10"/>
            <rFont val="Tahoma"/>
            <family val="2"/>
          </rPr>
          <t>kbA</t>
        </r>
        <r>
          <rPr>
            <sz val="12"/>
            <rFont val="Tahoma"/>
            <family val="2"/>
          </rPr>
          <t xml:space="preserve">  (getrocknet)
(MDH Peacock) </t>
        </r>
        <r>
          <rPr>
            <b/>
            <sz val="12"/>
            <rFont val="Tahoma"/>
            <family val="2"/>
          </rPr>
          <t>Kasoori Methi</t>
        </r>
        <r>
          <rPr>
            <sz val="12"/>
            <rFont val="Tahoma"/>
            <family val="2"/>
          </rPr>
          <t xml:space="preserve">, nicht-bio, (Indien) waren 2007: im A1, 2009: im A2 erhältlich !
</t>
        </r>
        <r>
          <rPr>
            <sz val="8"/>
            <rFont val="Tahoma"/>
            <family val="2"/>
          </rPr>
          <t xml:space="preserve">
</t>
        </r>
        <r>
          <rPr>
            <b/>
            <u val="single"/>
            <sz val="12"/>
            <rFont val="Tahoma"/>
            <family val="2"/>
          </rPr>
          <t>Sellerie, BLÄTTER kbA</t>
        </r>
        <r>
          <rPr>
            <sz val="12"/>
            <rFont val="Tahoma"/>
            <family val="2"/>
          </rPr>
          <t xml:space="preserve"> (getrocknet, aus </t>
        </r>
        <r>
          <rPr>
            <sz val="12"/>
            <color indexed="10"/>
            <rFont val="Tahoma"/>
            <family val="2"/>
          </rPr>
          <t>biologisch</t>
        </r>
        <r>
          <rPr>
            <sz val="12"/>
            <rFont val="Tahoma"/>
            <family val="2"/>
          </rPr>
          <t xml:space="preserve">em Anbau, oder, bevorzugt: </t>
        </r>
        <r>
          <rPr>
            <i/>
            <sz val="12"/>
            <rFont val="Tahoma"/>
            <family val="2"/>
          </rPr>
          <t>demeter</t>
        </r>
        <r>
          <rPr>
            <sz val="12"/>
            <rFont val="Tahoma"/>
            <family val="2"/>
          </rPr>
          <t>-Qualität)</t>
        </r>
        <r>
          <rPr>
            <sz val="8"/>
            <rFont val="Tahoma"/>
            <family val="2"/>
          </rPr>
          <t xml:space="preserve">
</t>
        </r>
        <r>
          <rPr>
            <b/>
            <u val="single"/>
            <sz val="12"/>
            <rFont val="Tahoma"/>
            <family val="2"/>
          </rPr>
          <t xml:space="preserve">Stevia Rebaudiana </t>
        </r>
        <r>
          <rPr>
            <b/>
            <u val="single"/>
            <sz val="12"/>
            <color indexed="10"/>
            <rFont val="Tahoma"/>
            <family val="2"/>
          </rPr>
          <t>kbA</t>
        </r>
        <r>
          <rPr>
            <sz val="12"/>
            <rFont val="Tahoma"/>
            <family val="2"/>
          </rPr>
          <t xml:space="preserve">, Süßkraut, in </t>
        </r>
        <r>
          <rPr>
            <u val="single"/>
            <sz val="12"/>
            <color indexed="10"/>
            <rFont val="Tahoma"/>
            <family val="2"/>
          </rPr>
          <t>BIO</t>
        </r>
        <r>
          <rPr>
            <sz val="12"/>
            <rFont val="Tahoma"/>
            <family val="2"/>
          </rPr>
          <t>-qualität
(Blätter getrocknet; oder, bevorzugt: pulverisiert samt Wurzeln, wie das SteviaPur)</t>
        </r>
        <r>
          <rPr>
            <sz val="8"/>
            <rFont val="Tahoma"/>
            <family val="2"/>
          </rPr>
          <t xml:space="preserve">
</t>
        </r>
        <r>
          <rPr>
            <b/>
            <u val="single"/>
            <sz val="12"/>
            <rFont val="Tahoma"/>
            <family val="2"/>
          </rPr>
          <t>Dill-SAMEN</t>
        </r>
        <r>
          <rPr>
            <sz val="12"/>
            <rFont val="Tahoma"/>
            <family val="2"/>
          </rPr>
          <t xml:space="preserve">  (kbA wäre schön, ich weiß aber dzt. nicht mal "konventionelle")
</t>
        </r>
        <r>
          <rPr>
            <sz val="14"/>
            <rFont val="Tahoma"/>
            <family val="2"/>
          </rPr>
          <t xml:space="preserve">
</t>
        </r>
        <r>
          <rPr>
            <b/>
            <i/>
            <sz val="14"/>
            <color indexed="12"/>
            <rFont val="Tahoma"/>
            <family val="2"/>
          </rPr>
          <t xml:space="preserve">
</t>
        </r>
        <r>
          <rPr>
            <b/>
            <i/>
            <sz val="16"/>
            <color indexed="12"/>
            <rFont val="Tahoma"/>
            <family val="2"/>
          </rPr>
          <t xml:space="preserve"> zweckdienliche Hinweise  --danke im voraus!--     bitte an o5@utanet.at </t>
        </r>
        <r>
          <rPr>
            <b/>
            <sz val="16"/>
            <color indexed="12"/>
            <rFont val="Tahoma"/>
            <family val="2"/>
          </rPr>
          <t xml:space="preserve">!
</t>
        </r>
        <r>
          <rPr>
            <b/>
            <sz val="14"/>
            <color indexed="16"/>
            <rFont val="Tahoma"/>
            <family val="2"/>
          </rPr>
          <t>this (updated) =  http://beam.to/wdaE  ==  http://wda.tradivarium.at/einkauf.xls</t>
        </r>
      </text>
    </comment>
  </commentList>
</comments>
</file>

<file path=xl/comments4.xml><?xml version="1.0" encoding="utf-8"?>
<comments xmlns="http://schemas.openxmlformats.org/spreadsheetml/2006/main">
  <authors>
    <author>wda</author>
    <author>Administrator</author>
    <author>fukkms</author>
  </authors>
  <commentList>
    <comment ref="B34" authorId="0">
      <text>
        <r>
          <rPr>
            <b/>
            <sz val="7"/>
            <rFont val="Tahoma"/>
            <family val="2"/>
          </rPr>
          <t xml:space="preserve">funktioniert selten
</t>
        </r>
      </text>
    </comment>
    <comment ref="B61" authorId="0">
      <text>
        <r>
          <rPr>
            <b/>
            <sz val="10"/>
            <rFont val="Tahoma"/>
            <family val="2"/>
          </rPr>
          <t>TEUER bei schwacher Auswahl</t>
        </r>
      </text>
    </comment>
    <comment ref="B54" authorId="0">
      <text>
        <r>
          <rPr>
            <b/>
            <sz val="10"/>
            <color indexed="12"/>
            <rFont val="Tahoma"/>
            <family val="2"/>
          </rPr>
          <t>"dieses geschäft wirft keinen gewinn ab, aber es macht spass" (2006)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0"/>
            <color indexed="55"/>
            <rFont val="Tahoma"/>
            <family val="2"/>
          </rPr>
          <t>guter spruch; TEUER, geringe auswahl
2007 geschlosse</t>
        </r>
        <r>
          <rPr>
            <b/>
            <sz val="10"/>
            <rFont val="Tahoma"/>
            <family val="2"/>
          </rPr>
          <t xml:space="preserve">n </t>
        </r>
      </text>
    </comment>
    <comment ref="B11" authorId="0">
      <text>
        <r>
          <rPr>
            <b/>
            <sz val="10"/>
            <rFont val="Tahoma"/>
            <family val="2"/>
          </rPr>
          <t>billig.
WENIG(er) Inländisches</t>
        </r>
      </text>
    </comment>
    <comment ref="B69" authorId="0">
      <text>
        <r>
          <rPr>
            <b/>
            <sz val="10"/>
            <rFont val="Tahoma"/>
            <family val="2"/>
          </rPr>
          <t>Soj-Vita(u.a.)-BESTANBIETER 
bemüht inländisch
zB: Äpfel NUR aus A !</t>
        </r>
      </text>
    </comment>
    <comment ref="B16" authorId="0">
      <text>
        <r>
          <rPr>
            <b/>
            <sz val="10"/>
            <rFont val="Tahoma"/>
            <family val="2"/>
          </rPr>
          <t xml:space="preserve">(tw. sehr) BILLIG
tw. bemüht inländisch
EINZIGE bekannte quelle fuer
- Äpfel PINOVA (aus A)
- Holzzahnbürsten
-  MONK Tahin
</t>
        </r>
      </text>
    </comment>
    <comment ref="A14" authorId="1">
      <text>
        <r>
          <rPr>
            <b/>
            <sz val="14"/>
            <color indexed="10"/>
            <rFont val="Tahoma"/>
            <family val="2"/>
          </rPr>
          <t>*ALLES* mit (etlichen) E-Stoffen  !!</t>
        </r>
        <r>
          <rPr>
            <b/>
            <sz val="12"/>
            <rFont val="Tahoma"/>
            <family val="2"/>
          </rPr>
          <t xml:space="preserve">
- wie mir die kassierer-Tussi ungefragt erklärt hat</t>
        </r>
      </text>
    </comment>
    <comment ref="B38" authorId="1">
      <text>
        <r>
          <rPr>
            <sz val="12"/>
            <color indexed="17"/>
            <rFont val="Tahoma"/>
            <family val="2"/>
          </rPr>
          <t xml:space="preserve">hat neben EXTREM-Junk </t>
        </r>
        <r>
          <rPr>
            <sz val="10"/>
            <color indexed="17"/>
            <rFont val="Tahoma"/>
            <family val="2"/>
          </rPr>
          <t>(zB Lebkuchen mit HÜHNEReiweiss u.ä.)</t>
        </r>
        <r>
          <rPr>
            <sz val="12"/>
            <color indexed="17"/>
            <rFont val="Tahoma"/>
            <family val="2"/>
          </rPr>
          <t xml:space="preserve">  anscheinend </t>
        </r>
        <r>
          <rPr>
            <b/>
            <sz val="12"/>
            <color indexed="17"/>
            <rFont val="Tahoma"/>
            <family val="2"/>
          </rPr>
          <t>ZUNEHMEND BIO-Produkte</t>
        </r>
        <r>
          <rPr>
            <sz val="12"/>
            <color indexed="17"/>
            <rFont val="Tahoma"/>
            <family val="2"/>
          </rPr>
          <t xml:space="preserve"> und </t>
        </r>
        <r>
          <rPr>
            <b/>
            <sz val="12"/>
            <color indexed="17"/>
            <rFont val="Tahoma"/>
            <family val="2"/>
          </rPr>
          <t>veganen+E-Stoff-freien junk</t>
        </r>
        <r>
          <rPr>
            <sz val="12"/>
            <color indexed="17"/>
            <rFont val="Tahoma"/>
            <family val="2"/>
          </rPr>
          <t xml:space="preserve"> (zB. Brot, Gebäck, Choceur, siehe PREISE_... )
+</t>
        </r>
        <r>
          <rPr>
            <b/>
            <sz val="12"/>
            <color indexed="17"/>
            <rFont val="Tahoma"/>
            <family val="2"/>
          </rPr>
          <t>OEKO</t>
        </r>
        <r>
          <rPr>
            <sz val="12"/>
            <color indexed="17"/>
            <rFont val="Tahoma"/>
            <family val="2"/>
          </rPr>
          <t>(schmäh?) : 
http://www.zurueckzumursprung.at/</t>
        </r>
      </text>
    </comment>
    <comment ref="A16" authorId="1">
      <text>
        <r>
          <rPr>
            <b/>
            <sz val="12"/>
            <rFont val="Tahoma"/>
            <family val="2"/>
          </rPr>
          <t>BESTanBIETER für (Österr.) Äpfel, Kartoffeln</t>
        </r>
      </text>
    </comment>
    <comment ref="A8" authorId="2">
      <text>
        <r>
          <rPr>
            <b/>
            <sz val="14"/>
            <color indexed="10"/>
            <rFont val="Tahoma"/>
            <family val="2"/>
          </rPr>
          <t xml:space="preserve">aufpassen, nachrechnen, nachzählen und nachwiegen -- HIER WERDEN KUNDEN </t>
        </r>
        <r>
          <rPr>
            <b/>
            <sz val="20"/>
            <color indexed="10"/>
            <rFont val="Tahoma"/>
            <family val="2"/>
          </rPr>
          <t>BESCHI$$EN !!</t>
        </r>
      </text>
    </comment>
    <comment ref="A47" authorId="2">
      <text>
        <r>
          <rPr>
            <b/>
            <sz val="14"/>
            <color indexed="10"/>
            <rFont val="Tahoma"/>
            <family val="2"/>
          </rPr>
          <t xml:space="preserve">aufpassen, nachrechnen, nachzählen und nachwiegen -- HIER WERDEN KUNDEN </t>
        </r>
        <r>
          <rPr>
            <b/>
            <sz val="20"/>
            <color indexed="10"/>
            <rFont val="Tahoma"/>
            <family val="2"/>
          </rPr>
          <t>BESCHI$$EN !!</t>
        </r>
      </text>
    </comment>
    <comment ref="B32" authorId="2">
      <text>
        <r>
          <rPr>
            <b/>
            <sz val="12"/>
            <rFont val="Tahoma"/>
            <family val="2"/>
          </rPr>
          <t xml:space="preserve">Knöllgasse 19-21 / 1100 Wien
Rotenhofgasse 56-62 / 1100 Wien
Columbusgasse 53 / 1100 Wien
Pernerstorfergasse 22 / 1100 Wien
Naschmarkt Stand 405 </t>
        </r>
      </text>
    </comment>
    <comment ref="B19" authorId="2">
      <text>
        <r>
          <rPr>
            <b/>
            <sz val="12"/>
            <color indexed="10"/>
            <rFont val="Tahoma"/>
            <family val="2"/>
          </rPr>
          <t>!ACHTUNG!  wieder FALSCH (dh. ZU TEUER) BERECHNET!
Chicoree statt Chinakohl</t>
        </r>
        <r>
          <rPr>
            <b/>
            <sz val="12"/>
            <rFont val="Tahoma"/>
            <family val="2"/>
          </rPr>
          <t xml:space="preserve">
!ACHTUNG!
Waren wiederholt falsch (dh. zu billig) angeschrieben</t>
        </r>
      </text>
    </comment>
  </commentList>
</comments>
</file>

<file path=xl/comments6.xml><?xml version="1.0" encoding="utf-8"?>
<comments xmlns="http://schemas.openxmlformats.org/spreadsheetml/2006/main">
  <authors>
    <author>wda</author>
    <author>Administrator</author>
    <author>fukkms</author>
    <author>fuckms</author>
    <author>1</author>
  </authors>
  <commentList>
    <comment ref="I2993" authorId="0">
      <text>
        <r>
          <rPr>
            <b/>
            <sz val="12"/>
            <rFont val="Tahoma"/>
            <family val="2"/>
          </rPr>
          <t>spesenfrei ab E 75, Zustellung problematisch</t>
        </r>
      </text>
    </comment>
    <comment ref="O2" authorId="0">
      <text>
        <r>
          <rPr>
            <b/>
            <sz val="12"/>
            <rFont val="Tahoma"/>
            <family val="2"/>
          </rPr>
          <t xml:space="preserve">zuletzt gekauft 
</t>
        </r>
        <r>
          <rPr>
            <b/>
            <sz val="12"/>
            <color indexed="12"/>
            <rFont val="Tahoma"/>
            <family val="2"/>
          </rPr>
          <t>oder gesehen</t>
        </r>
      </text>
    </comment>
    <comment ref="I37" authorId="0">
      <text>
        <r>
          <rPr>
            <sz val="12"/>
            <rFont val="Tahoma"/>
            <family val="2"/>
          </rPr>
          <t>http://www.citrosept.at/i/o-natur.html</t>
        </r>
      </text>
    </comment>
    <comment ref="I862" authorId="0">
      <text>
        <r>
          <rPr>
            <b/>
            <sz val="10"/>
            <rFont val="Tahoma"/>
            <family val="2"/>
          </rPr>
          <t>lecker, 1A Qualität, 
VIEL zu weich gekocht</t>
        </r>
      </text>
    </comment>
    <comment ref="I846" authorId="0">
      <text>
        <r>
          <rPr>
            <b/>
            <sz val="10"/>
            <rFont val="Tahoma"/>
            <family val="2"/>
          </rPr>
          <t>lecker, 1A Qualität,
und Fisolen MUESSEN lange gekocht werden !</t>
        </r>
      </text>
    </comment>
    <comment ref="I2612" authorId="0">
      <text>
        <r>
          <rPr>
            <b/>
            <sz val="10"/>
            <rFont val="Tahoma"/>
            <family val="2"/>
          </rPr>
          <t>(Zichoriensirup statt Zucker; lecker!)</t>
        </r>
      </text>
    </comment>
    <comment ref="I1960" authorId="0">
      <text>
        <r>
          <rPr>
            <b/>
            <sz val="10"/>
            <rFont val="Tahoma"/>
            <family val="2"/>
          </rPr>
          <t>Tomaten, Paprika, Gurken, Zwiebel, Olivenöl, Weinessig, Salz, Knoblauch, Zitr.saft</t>
        </r>
      </text>
    </comment>
    <comment ref="I1807" authorId="0">
      <text>
        <r>
          <rPr>
            <b/>
            <sz val="10"/>
            <rFont val="Tahoma"/>
            <family val="2"/>
          </rPr>
          <t>"mit Schale und Keimling auf Stein gemahlen"</t>
        </r>
      </text>
    </comment>
    <comment ref="I1797" authorId="0">
      <text>
        <r>
          <rPr>
            <b/>
            <sz val="10"/>
            <rFont val="Tahoma"/>
            <family val="2"/>
          </rPr>
          <t>"mit Schale und Keimling auf Stein gemahlen"</t>
        </r>
      </text>
    </comment>
    <comment ref="I757" authorId="0">
      <text>
        <r>
          <rPr>
            <b/>
            <sz val="12"/>
            <rFont val="Tahoma"/>
            <family val="2"/>
          </rPr>
          <t>chinesisch, non-bio, vermutlich JUNK
  --  aber köstlich</t>
        </r>
      </text>
    </comment>
    <comment ref="I2604" authorId="0">
      <text>
        <r>
          <rPr>
            <b/>
            <sz val="12"/>
            <color indexed="14"/>
            <rFont val="Tahoma"/>
            <family val="2"/>
          </rPr>
          <t>FETT und TEUER !</t>
        </r>
      </text>
    </comment>
    <comment ref="B2608" authorId="0">
      <text>
        <r>
          <rPr>
            <b/>
            <sz val="10"/>
            <rFont val="Tahoma"/>
            <family val="2"/>
          </rPr>
          <t>PRO 100 g</t>
        </r>
      </text>
    </comment>
    <comment ref="D2604" authorId="0">
      <text>
        <r>
          <rPr>
            <b/>
            <sz val="10"/>
            <rFont val="Tahoma"/>
            <family val="2"/>
          </rPr>
          <t>ANGABE FEHLT</t>
        </r>
      </text>
    </comment>
    <comment ref="I2605" authorId="0">
      <text>
        <r>
          <rPr>
            <b/>
            <sz val="10"/>
            <rFont val="Tahoma"/>
            <family val="2"/>
          </rPr>
          <t>EXTREM ähnlich in Geschmack und Verpackung; deutliche Unterschiede bei Nährwertangaben</t>
        </r>
      </text>
    </comment>
    <comment ref="I949" authorId="0">
      <text>
        <r>
          <rPr>
            <b/>
            <sz val="11"/>
            <rFont val="Tahoma"/>
            <family val="2"/>
          </rPr>
          <t>Bohnen,
Wasser,
Salz</t>
        </r>
      </text>
    </comment>
    <comment ref="I844" authorId="0">
      <text>
        <r>
          <rPr>
            <b/>
            <sz val="10"/>
            <rFont val="Tahoma"/>
            <family val="2"/>
          </rPr>
          <t>lecker, 1A Qualität,
und Fisolen MUESSEN lange gekocht werden !</t>
        </r>
      </text>
    </comment>
    <comment ref="I1959" authorId="0">
      <text>
        <r>
          <rPr>
            <b/>
            <sz val="10"/>
            <rFont val="Tahoma"/>
            <family val="2"/>
          </rPr>
          <t>Tomaten, Paprika, Gurken, Zwiebel, Olivenöl, Essig, Salz, Knoblauch
haltbar &gt; 1 Monat</t>
        </r>
      </text>
    </comment>
    <comment ref="I1322" authorId="0">
      <text>
        <r>
          <rPr>
            <b/>
            <sz val="12"/>
            <color indexed="14"/>
            <rFont val="Tahoma"/>
            <family val="2"/>
          </rPr>
          <t>BUTTER UND ZUCKER !!!</t>
        </r>
      </text>
    </comment>
    <comment ref="I758" authorId="0">
      <text>
        <r>
          <rPr>
            <b/>
            <sz val="8"/>
            <rFont val="Tahoma"/>
            <family val="2"/>
          </rPr>
          <t>NICHT besser als die vom Hofer</t>
        </r>
      </text>
    </comment>
    <comment ref="I1320" authorId="0">
      <text>
        <r>
          <rPr>
            <b/>
            <sz val="10"/>
            <rFont val="Tahoma"/>
            <family val="2"/>
          </rPr>
          <t xml:space="preserve">Traubenzucker
</t>
        </r>
        <r>
          <rPr>
            <b/>
            <sz val="10"/>
            <color indexed="14"/>
            <rFont val="Tahoma"/>
            <family val="2"/>
          </rPr>
          <t>Ca.Propionat</t>
        </r>
        <r>
          <rPr>
            <b/>
            <sz val="8"/>
            <rFont val="Tahoma"/>
            <family val="2"/>
          </rPr>
          <t xml:space="preserve">
Margarine</t>
        </r>
      </text>
    </comment>
    <comment ref="C1182" authorId="0">
      <text>
        <r>
          <rPr>
            <b/>
            <sz val="14"/>
            <color indexed="10"/>
            <rFont val="Tahoma"/>
            <family val="2"/>
          </rPr>
          <t>?????</t>
        </r>
      </text>
    </comment>
    <comment ref="I2420" authorId="0">
      <text>
        <r>
          <rPr>
            <b/>
            <sz val="10"/>
            <rFont val="Tahoma"/>
            <family val="2"/>
          </rPr>
          <t>Öl aus bio-Zitronen + Maltodextrin</t>
        </r>
      </text>
    </comment>
    <comment ref="F19" authorId="0">
      <text>
        <r>
          <rPr>
            <b/>
            <sz val="18"/>
            <color indexed="8"/>
            <rFont val="Tahoma"/>
            <family val="2"/>
          </rPr>
          <t>SCHWARZ = BIO</t>
        </r>
        <r>
          <rPr>
            <b/>
            <sz val="18"/>
            <color indexed="12"/>
            <rFont val="Tahoma"/>
            <family val="2"/>
          </rPr>
          <t xml:space="preserve">
BLAU = NON-BIO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 xml:space="preserve">
</t>
        </r>
        <r>
          <rPr>
            <b/>
            <sz val="14"/>
            <rFont val="Tahoma"/>
            <family val="2"/>
          </rPr>
          <t>FETT</t>
        </r>
        <r>
          <rPr>
            <sz val="14"/>
            <rFont val="Tahoma"/>
            <family val="2"/>
          </rPr>
          <t xml:space="preserve"> / </t>
        </r>
        <r>
          <rPr>
            <b/>
            <sz val="14"/>
            <color indexed="17"/>
            <rFont val="Tahoma"/>
            <family val="2"/>
          </rPr>
          <t>GRUEN</t>
        </r>
        <r>
          <rPr>
            <sz val="14"/>
            <color indexed="17"/>
            <rFont val="Tahoma"/>
            <family val="2"/>
          </rPr>
          <t xml:space="preserve"> = BILLIG</t>
        </r>
        <r>
          <rPr>
            <b/>
            <sz val="14"/>
            <color indexed="17"/>
            <rFont val="Tahoma"/>
            <family val="2"/>
          </rPr>
          <t>(st)</t>
        </r>
        <r>
          <rPr>
            <sz val="14"/>
            <rFont val="Tahoma"/>
            <family val="2"/>
          </rPr>
          <t xml:space="preserve">
</t>
        </r>
        <r>
          <rPr>
            <sz val="14"/>
            <color indexed="16"/>
            <rFont val="Tahoma"/>
            <family val="2"/>
          </rPr>
          <t xml:space="preserve">(dunkel) </t>
        </r>
        <r>
          <rPr>
            <sz val="14"/>
            <color indexed="10"/>
            <rFont val="Tahoma"/>
            <family val="2"/>
          </rPr>
          <t>ROT = TEU</t>
        </r>
        <r>
          <rPr>
            <sz val="14"/>
            <color indexed="16"/>
            <rFont val="Tahoma"/>
            <family val="2"/>
          </rPr>
          <t>(R)</t>
        </r>
        <r>
          <rPr>
            <sz val="14"/>
            <color indexed="10"/>
            <rFont val="Tahoma"/>
            <family val="2"/>
          </rPr>
          <t xml:space="preserve">ER
</t>
        </r>
        <r>
          <rPr>
            <b/>
            <sz val="14"/>
            <color indexed="14"/>
            <rFont val="Tahoma"/>
            <family val="2"/>
          </rPr>
          <t>PINK</t>
        </r>
        <r>
          <rPr>
            <sz val="14"/>
            <color indexed="14"/>
            <rFont val="Tahoma"/>
            <family val="2"/>
          </rPr>
          <t xml:space="preserve"> = Boykottwürdig (zB Zucker-, GEHÄRTETE-Fett-, E-Stoff- od. Konservierungsmittel-hältig)
</t>
        </r>
        <r>
          <rPr>
            <b/>
            <sz val="14"/>
            <color indexed="15"/>
            <rFont val="Tahoma"/>
            <family val="2"/>
          </rPr>
          <t>hellblau</t>
        </r>
        <r>
          <rPr>
            <b/>
            <sz val="14"/>
            <color indexed="14"/>
            <rFont val="Tahoma"/>
            <family val="2"/>
          </rPr>
          <t xml:space="preserve"> </t>
        </r>
        <r>
          <rPr>
            <b/>
            <sz val="14"/>
            <color indexed="8"/>
            <rFont val="Tahoma"/>
            <family val="2"/>
          </rPr>
          <t>|</t>
        </r>
        <r>
          <rPr>
            <b/>
            <sz val="14"/>
            <color indexed="55"/>
            <rFont val="Tahoma"/>
            <family val="2"/>
          </rPr>
          <t xml:space="preserve"> grau</t>
        </r>
        <r>
          <rPr>
            <b/>
            <sz val="14"/>
            <color indexed="14"/>
            <rFont val="Tahoma"/>
            <family val="2"/>
          </rPr>
          <t xml:space="preserve">   </t>
        </r>
        <r>
          <rPr>
            <b/>
            <sz val="14"/>
            <color indexed="23"/>
            <rFont val="Tahoma"/>
            <family val="2"/>
          </rPr>
          <t>…   A</t>
        </r>
        <r>
          <rPr>
            <b/>
            <sz val="14"/>
            <color indexed="15"/>
            <rFont val="Tahoma"/>
            <family val="2"/>
          </rPr>
          <t>U</t>
        </r>
        <r>
          <rPr>
            <b/>
            <sz val="14"/>
            <color indexed="23"/>
            <rFont val="Tahoma"/>
            <family val="2"/>
          </rPr>
          <t xml:space="preserve">S
</t>
        </r>
        <r>
          <rPr>
            <b/>
            <sz val="14"/>
            <color indexed="57"/>
            <rFont val="Tahoma"/>
            <family val="2"/>
          </rPr>
          <t xml:space="preserve">## </t>
        </r>
        <r>
          <rPr>
            <b/>
            <sz val="14"/>
            <color indexed="23"/>
            <rFont val="Tahoma"/>
            <family val="2"/>
          </rPr>
          <t xml:space="preserve">bevorzugte (obwohl nicht-billigste) Quelle
</t>
        </r>
        <r>
          <rPr>
            <b/>
            <sz val="14"/>
            <rFont val="Tahoma"/>
            <family val="2"/>
          </rPr>
          <t>#</t>
        </r>
        <r>
          <rPr>
            <b/>
            <sz val="14"/>
            <color indexed="23"/>
            <rFont val="Tahoma"/>
            <family val="2"/>
          </rPr>
          <t xml:space="preserve"> kennzeichnet bevorzugte </t>
        </r>
        <r>
          <rPr>
            <b/>
            <sz val="12"/>
            <color indexed="23"/>
            <rFont val="Tahoma"/>
            <family val="2"/>
          </rPr>
          <t xml:space="preserve">(weil einzige oder billigste) </t>
        </r>
        <r>
          <rPr>
            <b/>
            <sz val="14"/>
            <color indexed="23"/>
            <rFont val="Tahoma"/>
            <family val="2"/>
          </rPr>
          <t xml:space="preserve">Quelle für 1 Produkt. </t>
        </r>
        <r>
          <rPr>
            <b/>
            <sz val="12"/>
            <color indexed="23"/>
            <rFont val="Tahoma"/>
            <family val="2"/>
          </rPr>
          <t xml:space="preserve">Suche nach zB </t>
        </r>
        <r>
          <rPr>
            <b/>
            <sz val="12"/>
            <rFont val="Tahoma"/>
            <family val="2"/>
          </rPr>
          <t>#B13, #d</t>
        </r>
        <r>
          <rPr>
            <b/>
            <sz val="12"/>
            <color indexed="23"/>
            <rFont val="Tahoma"/>
            <family val="2"/>
          </rPr>
          <t xml:space="preserve"> =&gt; Produkte, von denen ich vom B13, denns  (mehrere) mitnehme, wenn hinkomme</t>
        </r>
      </text>
    </comment>
    <comment ref="I34" authorId="0">
      <text>
        <r>
          <rPr>
            <b/>
            <sz val="12"/>
            <rFont val="Tahoma"/>
            <family val="2"/>
          </rPr>
          <t>in Lösung klarerweise weniger haltbar !</t>
        </r>
      </text>
    </comment>
    <comment ref="I36" authorId="0">
      <text>
        <r>
          <rPr>
            <b/>
            <sz val="12"/>
            <rFont val="Tahoma"/>
            <family val="2"/>
          </rPr>
          <t>in Lösung klarerweise weniger haltbar ! Daher Konservierungsmittel</t>
        </r>
      </text>
    </comment>
    <comment ref="I2003" authorId="0">
      <text>
        <r>
          <rPr>
            <b/>
            <sz val="10"/>
            <rFont val="Tahoma"/>
            <family val="2"/>
          </rPr>
          <t>Tomaten(92%) Karotten Zwiebeln Paprika Pfefferschoten(0.5%) Basilikum Sellerie Meersalz</t>
        </r>
      </text>
    </comment>
    <comment ref="I1317" authorId="1">
      <text>
        <r>
          <rPr>
            <b/>
            <sz val="10"/>
            <color indexed="14"/>
            <rFont val="Tahoma"/>
            <family val="2"/>
          </rPr>
          <t>bio aber mit ZUCKER</t>
        </r>
      </text>
    </comment>
    <comment ref="I2610" authorId="1">
      <text>
        <r>
          <rPr>
            <b/>
            <sz val="10"/>
            <color indexed="12"/>
            <rFont val="Tahoma"/>
            <family val="2"/>
          </rPr>
          <t>wiedermal:</t>
        </r>
        <r>
          <rPr>
            <b/>
            <sz val="10"/>
            <color indexed="14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SCHEINBAR</t>
        </r>
        <r>
          <rPr>
            <b/>
            <sz val="10"/>
            <color indexed="14"/>
            <rFont val="Tahoma"/>
            <family val="2"/>
          </rPr>
          <t xml:space="preserve"> dasselbe Produkt aber
KLEINER  u n d  TEURER
u n d  daür  FETTER</t>
        </r>
      </text>
    </comment>
    <comment ref="B2607" authorId="0">
      <text>
        <r>
          <rPr>
            <b/>
            <sz val="10"/>
            <rFont val="Tahoma"/>
            <family val="2"/>
          </rPr>
          <t>PRO 100 ml</t>
        </r>
      </text>
    </comment>
    <comment ref="I2002" authorId="0">
      <text>
        <r>
          <rPr>
            <b/>
            <sz val="10"/>
            <rFont val="Tahoma"/>
            <family val="2"/>
          </rPr>
          <t>Tomaten(92%) Karotten Zwiebeln Paprika Pfefferschoten(0.5%) Basilikum Sellerie Meersalz</t>
        </r>
      </text>
    </comment>
    <comment ref="I1300" authorId="1">
      <text>
        <r>
          <rPr>
            <b/>
            <sz val="10"/>
            <rFont val="Tahoma"/>
            <family val="2"/>
          </rPr>
          <t>für JASMINreis fad, schwach im Geruch</t>
        </r>
      </text>
    </comment>
    <comment ref="I2689" authorId="1">
      <text>
        <r>
          <rPr>
            <b/>
            <sz val="14"/>
            <color indexed="10"/>
            <rFont val="Tahoma"/>
            <family val="2"/>
          </rPr>
          <t>EU-</t>
        </r>
        <r>
          <rPr>
            <b/>
            <sz val="14"/>
            <color indexed="14"/>
            <rFont val="Tahoma"/>
            <family val="2"/>
          </rPr>
          <t>GiftLampen</t>
        </r>
        <r>
          <rPr>
            <b/>
            <sz val="14"/>
            <color indexed="10"/>
            <rFont val="Tahoma"/>
            <family val="2"/>
          </rPr>
          <t xml:space="preserve">Verordnung
E 2008 beschlossen  !!!
</t>
        </r>
        <r>
          <rPr>
            <sz val="14"/>
            <color indexed="10"/>
            <rFont val="Tahoma"/>
            <family val="2"/>
          </rPr>
          <t>siehe zib.rtf</t>
        </r>
      </text>
    </comment>
    <comment ref="I2004" authorId="1">
      <text>
        <r>
          <rPr>
            <b/>
            <sz val="10"/>
            <rFont val="Tahoma"/>
            <family val="2"/>
          </rPr>
          <t>weniger lecker als die BASIC
und fetter</t>
        </r>
      </text>
    </comment>
    <comment ref="I843" authorId="0">
      <text>
        <r>
          <rPr>
            <b/>
            <sz val="10"/>
            <rFont val="Tahoma"/>
            <family val="2"/>
          </rPr>
          <t>lecker, 1A Qualität,
und Fisolen MUESSEN lange gekocht werden !</t>
        </r>
      </text>
    </comment>
    <comment ref="B2" authorId="1">
      <text>
        <r>
          <rPr>
            <sz val="12"/>
            <rFont val="Courier"/>
            <family val="3"/>
          </rPr>
          <t xml:space="preserve">
CH3COOH: 3.0 Kcal/g     13
KH:      3.9 Kcal/g     16 KJ/g
EW:      4.1 Kcal/g     18
EtOH:    7.1 Kcal/g     30
F:       9.3 Kcal/g     3!
In der Nährwertkennzeichnung der EU wird nicht der tatsächliche Brennwert eines Lebensmittels angegeben, sondern ein rein rechnerischer, der sich auf grobe Durchschnittswerte einiger Grundbestandteile stützt
</t>
        </r>
        <r>
          <rPr>
            <sz val="12"/>
            <rFont val="Tahoma"/>
            <family val="2"/>
          </rPr>
          <t xml:space="preserve">
</t>
        </r>
      </text>
    </comment>
    <comment ref="D4" authorId="1">
      <text>
        <r>
          <rPr>
            <b/>
            <sz val="12"/>
            <color indexed="10"/>
            <rFont val="Tahoma"/>
            <family val="2"/>
          </rPr>
          <t>KORREKTUREN    und</t>
        </r>
        <r>
          <rPr>
            <b/>
            <sz val="20"/>
            <color indexed="10"/>
            <rFont val="Tahoma"/>
            <family val="2"/>
          </rPr>
          <t xml:space="preserve">
</t>
        </r>
        <r>
          <rPr>
            <b/>
            <u val="single"/>
            <sz val="22"/>
            <color indexed="10"/>
            <rFont val="Tahoma"/>
            <family val="2"/>
          </rPr>
          <t>ERGAENZUNGEN</t>
        </r>
        <r>
          <rPr>
            <b/>
            <u val="single"/>
            <sz val="20"/>
            <color indexed="10"/>
            <rFont val="Tahoma"/>
            <family val="2"/>
          </rPr>
          <t xml:space="preserve">
WILLKOMMEN !</t>
        </r>
        <r>
          <rPr>
            <b/>
            <sz val="20"/>
            <color indexed="10"/>
            <rFont val="Tahoma"/>
            <family val="2"/>
          </rPr>
          <t xml:space="preserve">
</t>
        </r>
        <r>
          <rPr>
            <b/>
            <sz val="14"/>
            <color indexed="8"/>
            <rFont val="Tahoma"/>
            <family val="2"/>
          </rPr>
          <t>This (updated at least weekly) =</t>
        </r>
        <r>
          <rPr>
            <b/>
            <sz val="14"/>
            <color indexed="16"/>
            <rFont val="Tahoma"/>
            <family val="2"/>
          </rPr>
          <t xml:space="preserve">
</t>
        </r>
        <r>
          <rPr>
            <b/>
            <sz val="11"/>
            <color indexed="16"/>
            <rFont val="Tahoma"/>
            <family val="2"/>
          </rPr>
          <t>http://wda.tradivarium.at/einkauf.xls</t>
        </r>
        <r>
          <rPr>
            <b/>
            <sz val="14"/>
            <color indexed="16"/>
            <rFont val="Tahoma"/>
            <family val="2"/>
          </rPr>
          <t xml:space="preserve">
</t>
        </r>
        <r>
          <rPr>
            <b/>
            <sz val="14"/>
            <color indexed="8"/>
            <rFont val="Tahoma"/>
            <family val="2"/>
          </rPr>
          <t>or short:</t>
        </r>
        <r>
          <rPr>
            <b/>
            <sz val="14"/>
            <color indexed="16"/>
            <rFont val="Tahoma"/>
            <family val="2"/>
          </rPr>
          <t xml:space="preserve"> http://beam.to/wdae</t>
        </r>
      </text>
    </comment>
    <comment ref="I1531" authorId="1">
      <text>
        <r>
          <rPr>
            <b/>
            <sz val="14"/>
            <color indexed="10"/>
            <rFont val="Tahoma"/>
            <family val="2"/>
          </rPr>
          <t>MSG</t>
        </r>
      </text>
    </comment>
    <comment ref="I1530" authorId="1">
      <text>
        <r>
          <rPr>
            <b/>
            <sz val="14"/>
            <color indexed="10"/>
            <rFont val="Tahoma"/>
            <family val="2"/>
          </rPr>
          <t>MSG</t>
        </r>
      </text>
    </comment>
    <comment ref="I2873" authorId="1">
      <text>
        <r>
          <rPr>
            <b/>
            <sz val="12"/>
            <rFont val="Tahoma"/>
            <family val="2"/>
          </rPr>
          <t>ggf. INKL. Versand&amp;c-kosten</t>
        </r>
      </text>
    </comment>
    <comment ref="I2862" authorId="1">
      <text>
        <r>
          <rPr>
            <b/>
            <sz val="12"/>
            <rFont val="Tahoma"/>
            <family val="2"/>
          </rPr>
          <t>ggf. INKL. Versand&amp;c-kosten</t>
        </r>
      </text>
    </comment>
    <comment ref="I1529" authorId="2">
      <text>
        <r>
          <rPr>
            <b/>
            <sz val="8"/>
            <rFont val="Tahoma"/>
            <family val="2"/>
          </rPr>
          <t>Mais, Pflanzenöl, Salz</t>
        </r>
      </text>
    </comment>
    <comment ref="I2274" authorId="3">
      <text>
        <r>
          <rPr>
            <b/>
            <sz val="12"/>
            <color indexed="10"/>
            <rFont val="Tahoma"/>
            <family val="2"/>
          </rPr>
          <t>E476 = PGPR = Polyglycerin-Polyricinoleat</t>
        </r>
        <r>
          <rPr>
            <b/>
            <sz val="10"/>
            <color indexed="10"/>
            <rFont val="Tahoma"/>
            <family val="2"/>
          </rPr>
          <t xml:space="preserve">
</t>
        </r>
      </text>
    </comment>
    <comment ref="I2277" authorId="3">
      <text>
        <r>
          <rPr>
            <b/>
            <sz val="10"/>
            <rFont val="Tahoma"/>
            <family val="2"/>
          </rPr>
          <t>Kakao/Zucker/
Pflanzenfett...</t>
        </r>
      </text>
    </comment>
    <comment ref="J2" authorId="3">
      <text>
        <r>
          <rPr>
            <b/>
            <sz val="10"/>
            <rFont val="Tahoma"/>
            <family val="2"/>
          </rPr>
          <t xml:space="preserve">RABATT (mit Kundenkarte)
jetzt nur noch im T
</t>
        </r>
        <r>
          <rPr>
            <sz val="10"/>
            <rFont val="Tahoma"/>
            <family val="2"/>
          </rPr>
          <t>(früher auch im maran)</t>
        </r>
      </text>
    </comment>
    <comment ref="I2307" authorId="3">
      <text>
        <r>
          <rPr>
            <b/>
            <sz val="10"/>
            <rFont val="Tahoma"/>
            <family val="2"/>
          </rPr>
          <t>Schware Joh.beere(mus) 1.2%
Mandeln 6%</t>
        </r>
      </text>
    </comment>
    <comment ref="I621" authorId="3">
      <text>
        <r>
          <rPr>
            <b/>
            <sz val="14"/>
            <color indexed="10"/>
            <rFont val="Tahoma"/>
            <family val="2"/>
          </rPr>
          <t xml:space="preserve">ENDLICH WIEDER !
</t>
        </r>
      </text>
    </comment>
    <comment ref="I2900" authorId="3">
      <text>
        <r>
          <rPr>
            <b/>
            <sz val="10"/>
            <rFont val="Tahoma"/>
            <family val="2"/>
          </rPr>
          <t>darf nicht mehr nach Ö versenden</t>
        </r>
      </text>
    </comment>
    <comment ref="B2606" authorId="0">
      <text>
        <r>
          <rPr>
            <b/>
            <sz val="10"/>
            <rFont val="Tahoma"/>
            <family val="2"/>
          </rPr>
          <t>PRO 100 g</t>
        </r>
      </text>
    </comment>
    <comment ref="I3067" authorId="4">
      <text>
        <r>
          <rPr>
            <b/>
            <sz val="14"/>
            <color indexed="10"/>
            <rFont val="Tahoma"/>
            <family val="2"/>
          </rPr>
          <t xml:space="preserve">canon = !Paradebeispiel! für TOTAL von winzigweichMegaschei$$-krankheit durchsetzem kapitalfaschistischem schei$$vereinglobus
</t>
        </r>
      </text>
    </comment>
    <comment ref="J3068" authorId="4">
      <text>
        <r>
          <rPr>
            <b/>
            <sz val="28"/>
            <color indexed="10"/>
            <rFont val="Tahoma"/>
            <family val="2"/>
          </rPr>
          <t xml:space="preserve">FUCKKKKK </t>
        </r>
        <r>
          <rPr>
            <sz val="28"/>
            <color indexed="10"/>
            <rFont val="Tahoma"/>
            <family val="2"/>
          </rPr>
          <t>canon</t>
        </r>
      </text>
    </comment>
    <comment ref="N3068" authorId="4">
      <text>
        <r>
          <rPr>
            <b/>
            <sz val="16"/>
            <color indexed="10"/>
            <rFont val="Tahoma"/>
            <family val="2"/>
          </rPr>
          <t>KUNDENVERARSCHUNG
in Reinstform</t>
        </r>
      </text>
    </comment>
    <comment ref="G911" authorId="4">
      <text>
        <r>
          <rPr>
            <b/>
            <sz val="20"/>
            <rFont val="Tahoma"/>
            <family val="2"/>
          </rPr>
          <t>???</t>
        </r>
      </text>
    </comment>
    <comment ref="G912" authorId="4">
      <text>
        <r>
          <rPr>
            <b/>
            <sz val="20"/>
            <rFont val="Tahoma"/>
            <family val="2"/>
          </rPr>
          <t>???</t>
        </r>
      </text>
    </comment>
    <comment ref="I1103" authorId="4">
      <text>
        <r>
          <rPr>
            <b/>
            <sz val="12"/>
            <color indexed="14"/>
            <rFont val="Tahoma"/>
            <family val="2"/>
          </rPr>
          <t>13 g Plastik</t>
        </r>
      </text>
    </comment>
    <comment ref="I1431" authorId="4">
      <text>
        <r>
          <rPr>
            <b/>
            <sz val="12"/>
            <color indexed="10"/>
            <rFont val="Tahoma"/>
            <family val="2"/>
          </rPr>
          <t>ZUCKERrübenschei$$</t>
        </r>
      </text>
    </comment>
    <comment ref="I3111" authorId="4">
      <text>
        <r>
          <rPr>
            <b/>
            <sz val="12"/>
            <color indexed="12"/>
            <rFont val="Tahoma"/>
            <family val="2"/>
          </rPr>
          <t>PFLANZLICH.</t>
        </r>
        <r>
          <rPr>
            <b/>
            <sz val="12"/>
            <rFont val="Tahoma"/>
            <family val="2"/>
          </rPr>
          <t xml:space="preserve">
früher: "Carbo animalis"
</t>
        </r>
        <r>
          <rPr>
            <sz val="12"/>
            <rFont val="Tahoma"/>
            <family val="2"/>
          </rPr>
          <t xml:space="preserve">
</t>
        </r>
      </text>
    </comment>
    <comment ref="I2273" authorId="4">
      <text>
        <r>
          <rPr>
            <b/>
            <sz val="12"/>
            <rFont val="Tahoma"/>
            <family val="2"/>
          </rPr>
          <t>E-Stoff-frei</t>
        </r>
      </text>
    </comment>
    <comment ref="I550" authorId="4">
      <text>
        <r>
          <rPr>
            <b/>
            <sz val="12"/>
            <color indexed="14"/>
            <rFont val="Tahoma"/>
            <family val="2"/>
          </rPr>
          <t xml:space="preserve">ZUCKER 
</t>
        </r>
        <r>
          <rPr>
            <sz val="12"/>
            <color indexed="14"/>
            <rFont val="Tahoma"/>
            <family val="2"/>
          </rPr>
          <t>UND Fructose</t>
        </r>
      </text>
    </comment>
    <comment ref="I2276" authorId="3">
      <text>
        <r>
          <rPr>
            <b/>
            <sz val="10"/>
            <rFont val="Tahoma"/>
            <family val="2"/>
          </rPr>
          <t xml:space="preserve">Kakao/Zucker/
</t>
        </r>
        <r>
          <rPr>
            <b/>
            <sz val="10"/>
            <color indexed="10"/>
            <rFont val="Tahoma"/>
            <family val="2"/>
          </rPr>
          <t>Pflanzenfett GEHÄRTET</t>
        </r>
      </text>
    </comment>
    <comment ref="F2581" authorId="4">
      <text>
        <r>
          <rPr>
            <sz val="12"/>
            <color indexed="14"/>
            <rFont val="Tahoma"/>
            <family val="2"/>
          </rPr>
          <t>NUR MIT LUPE --und dann auch kaum-- LESBAR !</t>
        </r>
        <r>
          <rPr>
            <sz val="8"/>
            <rFont val="Tahoma"/>
            <family val="2"/>
          </rPr>
          <t xml:space="preserve">
</t>
        </r>
      </text>
    </comment>
    <comment ref="I2897" authorId="4">
      <text>
        <r>
          <rPr>
            <b/>
            <sz val="12"/>
            <rFont val="Tahoma"/>
            <family val="2"/>
          </rPr>
          <t>Versand = 10,90
bis 31 Kg !?</t>
        </r>
      </text>
    </comment>
    <comment ref="I3128" authorId="4">
      <text>
        <r>
          <rPr>
            <b/>
            <sz val="10"/>
            <rFont val="Tahoma"/>
            <family val="2"/>
          </rPr>
          <t xml:space="preserve">besser als die vom Hofer (s.o.) aber auch total-vertrottelt (Stickerei; und der waden-Teil dicker+wärmer als der Fuss-teil)
</t>
        </r>
        <r>
          <rPr>
            <b/>
            <sz val="10"/>
            <color indexed="14"/>
            <rFont val="Tahoma"/>
            <family val="2"/>
          </rPr>
          <t>HEIL dem KapitalFaschisMu$$ !</t>
        </r>
      </text>
    </comment>
    <comment ref="J910" authorId="4">
      <text>
        <r>
          <rPr>
            <b/>
            <sz val="16"/>
            <color indexed="10"/>
            <rFont val="Tahoma"/>
            <family val="2"/>
          </rPr>
          <t>ZZZ = ZUCKER</t>
        </r>
      </text>
    </comment>
    <comment ref="I551" authorId="4">
      <text>
        <r>
          <rPr>
            <b/>
            <sz val="12"/>
            <color indexed="14"/>
            <rFont val="Tahoma"/>
            <family val="2"/>
          </rPr>
          <t xml:space="preserve">ZUCKER 
</t>
        </r>
        <r>
          <rPr>
            <sz val="12"/>
            <color indexed="14"/>
            <rFont val="Tahoma"/>
            <family val="2"/>
          </rPr>
          <t>UND Fructose</t>
        </r>
      </text>
    </comment>
    <comment ref="I2762" authorId="3">
      <text>
        <r>
          <rPr>
            <b/>
            <sz val="12"/>
            <rFont val="Tahoma"/>
            <family val="2"/>
          </rPr>
          <t>" QUALITY + CHARITY "</t>
        </r>
      </text>
    </comment>
    <comment ref="J1500" authorId="4">
      <text>
        <r>
          <rPr>
            <b/>
            <sz val="12"/>
            <color indexed="10"/>
            <rFont val="Tahoma"/>
            <family val="2"/>
          </rPr>
          <t xml:space="preserve">~ 10 %  TEURER
</t>
        </r>
        <r>
          <rPr>
            <b/>
            <sz val="16"/>
            <color indexed="10"/>
            <rFont val="Tahoma"/>
            <family val="2"/>
          </rPr>
          <t>UND</t>
        </r>
        <r>
          <rPr>
            <b/>
            <sz val="12"/>
            <color indexed="10"/>
            <rFont val="Tahoma"/>
            <family val="2"/>
          </rPr>
          <t xml:space="preserve">  15 % weniger Inhalt !</t>
        </r>
      </text>
    </comment>
    <comment ref="I2007" authorId="4">
      <text>
        <r>
          <rPr>
            <b/>
            <sz val="12"/>
            <color indexed="14"/>
            <rFont val="Tahoma"/>
            <family val="2"/>
          </rPr>
          <t>Glucosesirup
"Sojaeiweisserzeugnis"</t>
        </r>
      </text>
    </comment>
    <comment ref="I932" authorId="2">
      <text>
        <r>
          <rPr>
            <b/>
            <sz val="12"/>
            <color indexed="17"/>
            <rFont val="Tahoma"/>
            <family val="2"/>
          </rPr>
          <t>zuckerfrei</t>
        </r>
        <r>
          <rPr>
            <sz val="12"/>
            <color indexed="17"/>
            <rFont val="Tahoma"/>
            <family val="2"/>
          </rPr>
          <t xml:space="preserve">
</t>
        </r>
      </text>
    </comment>
    <comment ref="I558" authorId="4">
      <text>
        <r>
          <rPr>
            <b/>
            <sz val="12"/>
            <color indexed="10"/>
            <rFont val="Tahoma"/>
            <family val="2"/>
          </rPr>
          <t>ZUCKER</t>
        </r>
      </text>
    </comment>
    <comment ref="I2731" authorId="4">
      <text>
        <r>
          <rPr>
            <b/>
            <sz val="8"/>
            <rFont val="Tahoma"/>
            <family val="2"/>
          </rPr>
          <t>AG1 + AG4
2 AG3 + 2 AG5
4 AG12 + 4 AG13==LR44</t>
        </r>
      </text>
    </comment>
    <comment ref="I556" authorId="4">
      <text>
        <r>
          <rPr>
            <b/>
            <sz val="12"/>
            <color indexed="10"/>
            <rFont val="Tahoma"/>
            <family val="2"/>
          </rPr>
          <t>ZUCKER</t>
        </r>
      </text>
    </comment>
    <comment ref="I557" authorId="4">
      <text>
        <r>
          <rPr>
            <b/>
            <sz val="12"/>
            <color indexed="10"/>
            <rFont val="Tahoma"/>
            <family val="2"/>
          </rPr>
          <t>ZUCKER</t>
        </r>
      </text>
    </comment>
    <comment ref="I559" authorId="4">
      <text>
        <r>
          <rPr>
            <b/>
            <sz val="8"/>
            <rFont val="Tahoma"/>
            <family val="2"/>
          </rPr>
          <t>noch ohne Zucker
oder hab ichs übersehen ?</t>
        </r>
      </text>
    </comment>
    <comment ref="I871" authorId="4">
      <text>
        <r>
          <rPr>
            <b/>
            <sz val="12"/>
            <color indexed="57"/>
            <rFont val="Tahoma"/>
            <family val="2"/>
          </rPr>
          <t>Linsen + Wasser +Tomaten + 0</t>
        </r>
      </text>
    </comment>
    <comment ref="I549" authorId="4">
      <text>
        <r>
          <rPr>
            <b/>
            <sz val="12"/>
            <color indexed="14"/>
            <rFont val="Tahoma"/>
            <family val="2"/>
          </rPr>
          <t>ZUCKER</t>
        </r>
        <r>
          <rPr>
            <b/>
            <sz val="12"/>
            <rFont val="Tahoma"/>
            <family val="2"/>
          </rPr>
          <t xml:space="preserve">
</t>
        </r>
        <r>
          <rPr>
            <b/>
            <sz val="12"/>
            <color indexed="10"/>
            <rFont val="Tahoma"/>
            <family val="2"/>
          </rPr>
          <t>FETT !!!</t>
        </r>
      </text>
    </comment>
    <comment ref="I548" authorId="4">
      <text>
        <r>
          <rPr>
            <b/>
            <sz val="10"/>
            <rFont val="Tahoma"/>
            <family val="2"/>
          </rPr>
          <t>18 % Gemüse
kein Zucker</t>
        </r>
      </text>
    </comment>
    <comment ref="G2606" authorId="4">
      <text>
        <r>
          <rPr>
            <b/>
            <sz val="8"/>
            <rFont val="Tahoma"/>
            <family val="2"/>
          </rPr>
          <t>angaben auf DERSELBEN packung divergieren leicht !°</t>
        </r>
      </text>
    </comment>
    <comment ref="I513" authorId="4">
      <text>
        <r>
          <rPr>
            <b/>
            <sz val="10"/>
            <rFont val="Tahoma"/>
            <family val="2"/>
          </rPr>
          <t>fein klein</t>
        </r>
      </text>
    </comment>
    <comment ref="I942" authorId="4">
      <text>
        <r>
          <rPr>
            <b/>
            <sz val="8"/>
            <rFont val="Tahoma"/>
            <family val="2"/>
          </rPr>
          <t>Bohnen + Wasser + 0</t>
        </r>
      </text>
    </comment>
    <comment ref="M676" authorId="4">
      <text>
        <r>
          <rPr>
            <b/>
            <sz val="14"/>
            <color indexed="10"/>
            <rFont val="Tahoma"/>
            <family val="2"/>
          </rPr>
          <t>&gt;  Evro 8 / kg  !!</t>
        </r>
      </text>
    </comment>
    <comment ref="I2005" authorId="4">
      <text>
        <r>
          <rPr>
            <b/>
            <sz val="12"/>
            <color indexed="14"/>
            <rFont val="Tahoma"/>
            <family val="2"/>
          </rPr>
          <t>Maissirup 
&amp; Apfeldicksaft</t>
        </r>
      </text>
    </comment>
    <comment ref="I107" authorId="4">
      <text>
        <r>
          <rPr>
            <b/>
            <sz val="10"/>
            <rFont val="Tahoma"/>
            <family val="2"/>
          </rPr>
          <t xml:space="preserve">20% Saft + Zitronensre + Aroma
</t>
        </r>
        <r>
          <rPr>
            <b/>
            <sz val="10"/>
            <color indexed="14"/>
            <rFont val="Tahoma"/>
            <family val="2"/>
          </rPr>
          <t>Kaliumbisufit</t>
        </r>
      </text>
    </comment>
    <comment ref="I106" authorId="4">
      <text>
        <r>
          <rPr>
            <b/>
            <sz val="10"/>
            <rFont val="Tahoma"/>
            <family val="2"/>
          </rPr>
          <t xml:space="preserve">20% Saft + Zitronensre + ?Aroma
</t>
        </r>
        <r>
          <rPr>
            <b/>
            <sz val="10"/>
            <color indexed="14"/>
            <rFont val="Tahoma"/>
            <family val="2"/>
          </rPr>
          <t>Kaliumbisufit</t>
        </r>
      </text>
    </comment>
    <comment ref="I1513" authorId="4">
      <text>
        <r>
          <rPr>
            <b/>
            <sz val="10"/>
            <rFont val="Tahoma"/>
            <family val="2"/>
          </rPr>
          <t xml:space="preserve">61% Früchte
</t>
        </r>
        <r>
          <rPr>
            <b/>
            <sz val="10"/>
            <color indexed="14"/>
            <rFont val="Tahoma"/>
            <family val="2"/>
          </rPr>
          <t>Glukosesirup + Sorbit</t>
        </r>
        <r>
          <rPr>
            <b/>
            <sz val="10"/>
            <rFont val="Tahoma"/>
            <family val="2"/>
          </rPr>
          <t xml:space="preserve">
vegan, E-Stofffrei</t>
        </r>
      </text>
    </comment>
    <comment ref="F2579" authorId="4">
      <text>
        <r>
          <rPr>
            <sz val="12"/>
            <color indexed="14"/>
            <rFont val="Tahoma"/>
            <family val="2"/>
          </rPr>
          <t>NUR MIT LUPE --und dann auch kaum-- LESBAR !</t>
        </r>
        <r>
          <rPr>
            <sz val="8"/>
            <rFont val="Tahoma"/>
            <family val="2"/>
          </rPr>
          <t xml:space="preserve">
</t>
        </r>
      </text>
    </comment>
    <comment ref="I2029" authorId="2">
      <text>
        <r>
          <rPr>
            <b/>
            <sz val="12"/>
            <color indexed="57"/>
            <rFont val="Tahoma"/>
            <family val="2"/>
          </rPr>
          <t>AUSGEZEICHNET !
Da dürften ein paar MOST-Birnen dabei sein !</t>
        </r>
        <r>
          <rPr>
            <sz val="8"/>
            <rFont val="Tahoma"/>
            <family val="2"/>
          </rPr>
          <t xml:space="preserve">
</t>
        </r>
      </text>
    </comment>
    <comment ref="G756" authorId="0">
      <text>
        <r>
          <rPr>
            <b/>
            <sz val="20"/>
            <rFont val="Tahoma"/>
            <family val="2"/>
          </rPr>
          <t>?</t>
        </r>
        <r>
          <rPr>
            <sz val="8"/>
            <rFont val="Tahoma"/>
            <family val="2"/>
          </rPr>
          <t xml:space="preserve">
</t>
        </r>
      </text>
    </comment>
    <comment ref="I756" authorId="0">
      <text>
        <r>
          <rPr>
            <b/>
            <sz val="12"/>
            <rFont val="Tahoma"/>
            <family val="2"/>
          </rPr>
          <t>chinesisch, non-bio, vermutlich JUNK
  --  aber köstlich</t>
        </r>
      </text>
    </comment>
    <comment ref="G757" authorId="2">
      <text>
        <r>
          <rPr>
            <b/>
            <sz val="16"/>
            <rFont val="Tahoma"/>
            <family val="2"/>
          </rPr>
          <t>?</t>
        </r>
      </text>
    </comment>
    <comment ref="E3" authorId="2">
      <text>
        <r>
          <rPr>
            <b/>
            <sz val="14"/>
            <rFont val="Tahoma"/>
            <family val="2"/>
          </rPr>
          <t>J / cal</t>
        </r>
        <r>
          <rPr>
            <sz val="14"/>
            <rFont val="Tahoma"/>
            <family val="2"/>
          </rPr>
          <t xml:space="preserve">
</t>
        </r>
      </text>
    </comment>
    <comment ref="I1486" authorId="2">
      <text>
        <r>
          <rPr>
            <b/>
            <sz val="12"/>
            <color indexed="48"/>
            <rFont val="Tahoma"/>
            <family val="2"/>
          </rPr>
          <t>mit etwas Wasser besprüht + kurz auf dem Toaster erhitzt =&gt; ****</t>
        </r>
        <r>
          <rPr>
            <sz val="8"/>
            <rFont val="Tahoma"/>
            <family val="2"/>
          </rPr>
          <t xml:space="preserve">
fenche
</t>
        </r>
      </text>
    </comment>
    <comment ref="I568" authorId="2">
      <text>
        <r>
          <rPr>
            <b/>
            <sz val="10"/>
            <rFont val="Tahoma"/>
            <family val="2"/>
          </rPr>
          <t>teurer+wässriger</t>
        </r>
      </text>
    </comment>
    <comment ref="I169" authorId="2">
      <text>
        <r>
          <rPr>
            <b/>
            <sz val="10"/>
            <rFont val="Tahoma"/>
            <family val="2"/>
          </rPr>
          <t>ziemlich hart, jedoch ERSTAUNLICH schnell nachreifend</t>
        </r>
        <r>
          <rPr>
            <sz val="8"/>
            <rFont val="Tahoma"/>
            <family val="2"/>
          </rPr>
          <t xml:space="preserve">
</t>
        </r>
      </text>
    </comment>
    <comment ref="I2102" authorId="2">
      <text>
        <r>
          <rPr>
            <b/>
            <sz val="8"/>
            <rFont val="Tahoma"/>
            <family val="2"/>
          </rPr>
          <t>kalorienreduziert nur verglichen gegen alkoholhältiges</t>
        </r>
        <r>
          <rPr>
            <sz val="8"/>
            <rFont val="Tahoma"/>
            <family val="2"/>
          </rPr>
          <t xml:space="preserve">
</t>
        </r>
      </text>
    </comment>
    <comment ref="I1908" authorId="2">
      <text>
        <r>
          <rPr>
            <b/>
            <sz val="12"/>
            <color indexed="10"/>
            <rFont val="Tahoma"/>
            <family val="2"/>
          </rPr>
          <t>*neu* jetzt in extra feinen Sondermüll verpackt, und dafür nur sage + schreibe 20% teurer!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I2530" authorId="2">
      <text>
        <r>
          <rPr>
            <b/>
            <sz val="12"/>
            <rFont val="Tahoma"/>
            <family val="2"/>
          </rPr>
          <t>+ Arndtstr./Längenfeldg.
+ Assmayergasse
- Osawaldgasse
- Spengerg.</t>
        </r>
      </text>
    </comment>
    <comment ref="I1080" authorId="2">
      <text>
        <r>
          <rPr>
            <b/>
            <sz val="10"/>
            <rFont val="Tahoma"/>
            <family val="2"/>
          </rPr>
          <t>durchaus lecker
'schwimmt' jedoch in Fett</t>
        </r>
      </text>
    </comment>
    <comment ref="I1077" authorId="2">
      <text>
        <r>
          <rPr>
            <b/>
            <sz val="8"/>
            <rFont val="Tahoma"/>
            <family val="2"/>
          </rPr>
          <t xml:space="preserve">durchaus lecker
'schwimmt' jedoch in Fett
</t>
        </r>
      </text>
    </comment>
    <comment ref="I1094" authorId="2">
      <text>
        <r>
          <rPr>
            <b/>
            <sz val="12"/>
            <rFont val="Tahoma"/>
            <family val="2"/>
          </rPr>
          <t>durchaus lecker
'schwimmt' jedoch in Fett</t>
        </r>
      </text>
    </comment>
    <comment ref="I1092" authorId="2">
      <text>
        <r>
          <rPr>
            <b/>
            <sz val="12"/>
            <rFont val="Tahoma"/>
            <family val="2"/>
          </rPr>
          <t>durchaus lecker
'schwimmt' jedoch in Fett</t>
        </r>
      </text>
    </comment>
    <comment ref="I1411" authorId="2">
      <text>
        <r>
          <rPr>
            <b/>
            <sz val="8"/>
            <color indexed="14"/>
            <rFont val="Tahoma"/>
            <family val="2"/>
          </rPr>
          <t>NICHT-bio, aber praktisch/einzelverpackt</t>
        </r>
      </text>
    </comment>
    <comment ref="I2773" authorId="3">
      <text>
        <r>
          <rPr>
            <b/>
            <sz val="12"/>
            <rFont val="Tahoma"/>
            <family val="2"/>
          </rPr>
          <t>" QUALITY + CHARITY "</t>
        </r>
      </text>
    </comment>
    <comment ref="I2272" authorId="4">
      <text>
        <r>
          <rPr>
            <b/>
            <sz val="12"/>
            <rFont val="Tahoma"/>
            <family val="2"/>
          </rPr>
          <t>E-Stoff-frei</t>
        </r>
      </text>
    </comment>
    <comment ref="I512" authorId="4">
      <text>
        <r>
          <rPr>
            <b/>
            <sz val="10"/>
            <rFont val="Tahoma"/>
            <family val="2"/>
          </rPr>
          <t>fein klein</t>
        </r>
      </text>
    </comment>
    <comment ref="I511" authorId="4">
      <text>
        <r>
          <rPr>
            <b/>
            <sz val="10"/>
            <rFont val="Tahoma"/>
            <family val="2"/>
          </rPr>
          <t>fein klein</t>
        </r>
      </text>
    </comment>
    <comment ref="I1512" authorId="4">
      <text>
        <r>
          <rPr>
            <b/>
            <sz val="10"/>
            <rFont val="Tahoma"/>
            <family val="2"/>
          </rPr>
          <t xml:space="preserve">61% Früchte
</t>
        </r>
        <r>
          <rPr>
            <b/>
            <sz val="10"/>
            <color indexed="14"/>
            <rFont val="Tahoma"/>
            <family val="2"/>
          </rPr>
          <t>Glukosesirup + Sorbit</t>
        </r>
        <r>
          <rPr>
            <b/>
            <sz val="10"/>
            <rFont val="Tahoma"/>
            <family val="2"/>
          </rPr>
          <t xml:space="preserve">
vegan, E-Stofffrei</t>
        </r>
      </text>
    </comment>
    <comment ref="I902" authorId="4">
      <text>
        <r>
          <rPr>
            <b/>
            <sz val="12"/>
            <color indexed="57"/>
            <rFont val="Tahoma"/>
            <family val="2"/>
          </rPr>
          <t>KicherKichererbsen + Wasser + Meersalz</t>
        </r>
      </text>
    </comment>
    <comment ref="I2099" authorId="2">
      <text>
        <r>
          <rPr>
            <b/>
            <sz val="8"/>
            <rFont val="Tahoma"/>
            <family val="2"/>
          </rPr>
          <t>kalorienreduziert nur verglichen gegen alkoholhältiges</t>
        </r>
        <r>
          <rPr>
            <sz val="8"/>
            <rFont val="Tahoma"/>
            <family val="2"/>
          </rPr>
          <t xml:space="preserve">
</t>
        </r>
      </text>
    </comment>
    <comment ref="I845" authorId="0">
      <text>
        <r>
          <rPr>
            <b/>
            <sz val="10"/>
            <rFont val="Tahoma"/>
            <family val="2"/>
          </rPr>
          <t>lecker, 1A Qualität,
und Fisolen MUESSEN lange gekocht werden !</t>
        </r>
      </text>
    </comment>
    <comment ref="I901" authorId="4">
      <text>
        <r>
          <rPr>
            <b/>
            <sz val="12"/>
            <color indexed="57"/>
            <rFont val="Tahoma"/>
            <family val="2"/>
          </rPr>
          <t>KicherKichererbsen + Wasser + Meersalz</t>
        </r>
      </text>
    </comment>
    <comment ref="I2006" authorId="4">
      <text>
        <r>
          <rPr>
            <b/>
            <sz val="12"/>
            <color indexed="14"/>
            <rFont val="Tahoma"/>
            <family val="2"/>
          </rPr>
          <t>Glucosesirup
"Sojaeiweisserzeugnis"</t>
        </r>
      </text>
    </comment>
    <comment ref="I1250" authorId="2">
      <text>
        <r>
          <rPr>
            <b/>
            <sz val="12"/>
            <rFont val="Tahoma"/>
            <family val="2"/>
          </rPr>
          <t>68% Getreide
16% Sultaninen
5% Haselnüsse
Sesam, Soblu</t>
        </r>
      </text>
    </comment>
    <comment ref="I1249" authorId="2">
      <text>
        <r>
          <rPr>
            <b/>
            <sz val="12"/>
            <rFont val="Tahoma"/>
            <family val="2"/>
          </rPr>
          <t>Getreidefl.,
Rosinen
Soblu, Apfelwürfel</t>
        </r>
        <r>
          <rPr>
            <sz val="8"/>
            <rFont val="Tahoma"/>
            <family val="2"/>
          </rPr>
          <t xml:space="preserve">
</t>
        </r>
      </text>
    </comment>
    <comment ref="L1007" authorId="2">
      <text>
        <r>
          <rPr>
            <b/>
            <sz val="14"/>
            <rFont val="Tahoma"/>
            <family val="2"/>
          </rPr>
          <t>??</t>
        </r>
      </text>
    </comment>
    <comment ref="I2001" authorId="0">
      <text>
        <r>
          <rPr>
            <b/>
            <sz val="14"/>
            <rFont val="Tahoma"/>
            <family val="2"/>
          </rPr>
          <t>FAD !</t>
        </r>
        <r>
          <rPr>
            <b/>
            <sz val="10"/>
            <rFont val="Tahoma"/>
            <family val="2"/>
          </rPr>
          <t xml:space="preserve">
Tomaten(96%) Zwiebeln
Karotten  Basilikum Sellerie Salz</t>
        </r>
      </text>
    </comment>
    <comment ref="I2000" authorId="0">
      <text>
        <r>
          <rPr>
            <b/>
            <sz val="10"/>
            <rFont val="Tahoma"/>
            <family val="2"/>
          </rPr>
          <t>(zu)Scharf, ansonsten FAD
Tomaten(89%) Chili O-Öl Basilikum  Salz</t>
        </r>
      </text>
    </comment>
    <comment ref="I2028" authorId="2">
      <text>
        <r>
          <rPr>
            <b/>
            <sz val="12"/>
            <color indexed="57"/>
            <rFont val="Tahoma"/>
            <family val="2"/>
          </rPr>
          <t>AUSGEZEICHNET !
Da dürften ein paar MOST-Birnen dabei sein !</t>
        </r>
        <r>
          <rPr>
            <sz val="8"/>
            <rFont val="Tahoma"/>
            <family val="2"/>
          </rPr>
          <t xml:space="preserve">
</t>
        </r>
      </text>
    </comment>
    <comment ref="I2531" authorId="2">
      <text>
        <r>
          <rPr>
            <b/>
            <sz val="12"/>
            <rFont val="Tahoma"/>
            <family val="2"/>
          </rPr>
          <t>? Arndtstr./Längenfeldg.
+ Osawaldgasse
-  Spengerg.</t>
        </r>
      </text>
    </comment>
    <comment ref="I2672" authorId="2">
      <text>
        <r>
          <rPr>
            <b/>
            <sz val="12"/>
            <color indexed="10"/>
            <rFont val="Tahoma"/>
            <family val="2"/>
          </rPr>
          <t>"kerzenform"=ZU_FETT: PASST  NICHT, wo E14 Kerze passte</t>
        </r>
        <r>
          <rPr>
            <b/>
            <sz val="12"/>
            <color indexed="14"/>
            <rFont val="Tahoma"/>
            <family val="2"/>
          </rPr>
          <t xml:space="preserve">
und jetzt </t>
        </r>
        <r>
          <rPr>
            <sz val="12"/>
            <color indexed="14"/>
            <rFont val="Tahoma"/>
            <family val="2"/>
          </rPr>
          <t>besonders</t>
        </r>
        <r>
          <rPr>
            <b/>
            <sz val="12"/>
            <color indexed="14"/>
            <rFont val="Tahoma"/>
            <family val="2"/>
          </rPr>
          <t xml:space="preserve"> SCHÖN: extra in Plastik verpacktklop
</t>
        </r>
      </text>
    </comment>
    <comment ref="I2671" authorId="2">
      <text>
        <r>
          <rPr>
            <b/>
            <sz val="12"/>
            <color indexed="14"/>
            <rFont val="Tahoma"/>
            <family val="2"/>
          </rPr>
          <t xml:space="preserve">und jetzt </t>
        </r>
        <r>
          <rPr>
            <sz val="12"/>
            <color indexed="14"/>
            <rFont val="Tahoma"/>
            <family val="2"/>
          </rPr>
          <t>besonders</t>
        </r>
        <r>
          <rPr>
            <b/>
            <sz val="12"/>
            <color indexed="14"/>
            <rFont val="Tahoma"/>
            <family val="2"/>
          </rPr>
          <t xml:space="preserve"> SCHÖN: extra in Plastik verpackt</t>
        </r>
      </text>
    </comment>
    <comment ref="N2928" authorId="2">
      <text>
        <r>
          <rPr>
            <b/>
            <sz val="12"/>
            <rFont val="Tahoma"/>
            <family val="2"/>
          </rPr>
          <t>im größeren teurer ?!?</t>
        </r>
      </text>
    </comment>
    <comment ref="I1084" authorId="2">
      <text>
        <r>
          <rPr>
            <b/>
            <sz val="12"/>
            <rFont val="Tahoma"/>
            <family val="2"/>
          </rPr>
          <t>fester</t>
        </r>
      </text>
    </comment>
    <comment ref="I1087" authorId="2">
      <text>
        <r>
          <rPr>
            <b/>
            <sz val="12"/>
            <rFont val="Tahoma"/>
            <family val="2"/>
          </rPr>
          <t>wässriger</t>
        </r>
      </text>
    </comment>
    <comment ref="I1639" authorId="2">
      <text>
        <r>
          <rPr>
            <b/>
            <sz val="12"/>
            <rFont val="Tahoma"/>
            <family val="2"/>
          </rPr>
          <t>teu(r)er UND noch dazu falsch angeschrieben !</t>
        </r>
        <r>
          <rPr>
            <sz val="8"/>
            <rFont val="Tahoma"/>
            <family val="2"/>
          </rPr>
          <t xml:space="preserve">
</t>
        </r>
      </text>
    </comment>
    <comment ref="N2927" authorId="2">
      <text>
        <r>
          <rPr>
            <b/>
            <sz val="12"/>
            <rFont val="Tahoma"/>
            <family val="2"/>
          </rPr>
          <t>im größeren JETZT NOCH teurer ?!?</t>
        </r>
      </text>
    </comment>
    <comment ref="I662" authorId="4">
      <text>
        <r>
          <rPr>
            <b/>
            <sz val="8"/>
            <rFont val="Tahoma"/>
            <family val="2"/>
          </rPr>
          <t>Zwiebel, Öl, Weizenmehl, Salz</t>
        </r>
      </text>
    </comment>
    <comment ref="I1907" authorId="2">
      <text>
        <r>
          <rPr>
            <b/>
            <sz val="12"/>
            <color indexed="10"/>
            <rFont val="Tahoma"/>
            <family val="2"/>
          </rPr>
          <t>*neu* jetzt in extra feinen Sondermüll verpackt, und dafür nur sage + schreibe 20% teurer!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I661" authorId="4">
      <text>
        <r>
          <rPr>
            <b/>
            <sz val="8"/>
            <rFont val="Tahoma"/>
            <family val="2"/>
          </rPr>
          <t>Zwiebel, Palm-Öl, Weizenmehl, Salz</t>
        </r>
      </text>
    </comment>
    <comment ref="I1901" authorId="2">
      <text>
        <r>
          <rPr>
            <b/>
            <sz val="12"/>
            <rFont val="Tahoma"/>
            <family val="2"/>
          </rPr>
          <t>~ 30%  Zwiebel</t>
        </r>
        <r>
          <rPr>
            <sz val="8"/>
            <rFont val="Tahoma"/>
            <family val="2"/>
          </rPr>
          <t xml:space="preserve">
</t>
        </r>
      </text>
    </comment>
    <comment ref="I1163" authorId="2">
      <text>
        <r>
          <rPr>
            <b/>
            <sz val="12"/>
            <rFont val="Tahoma"/>
            <family val="2"/>
          </rPr>
          <t>40 % Rosinen
22% Haseln.
14 % Cashew
14 % Mandeln
10 % Waln.</t>
        </r>
        <r>
          <rPr>
            <b/>
            <sz val="8"/>
            <rFont val="Tahoma"/>
            <family val="2"/>
          </rPr>
          <t xml:space="preserve">
</t>
        </r>
      </text>
    </comment>
    <comment ref="I1164" authorId="2">
      <text>
        <r>
          <rPr>
            <b/>
            <sz val="10"/>
            <rFont val="Tahoma"/>
            <family val="2"/>
          </rPr>
          <t>Rosinen, Korinthen
Par- u.  Haselnüsse
Cashew, Mandeln,
Pignoli</t>
        </r>
        <r>
          <rPr>
            <b/>
            <sz val="8"/>
            <rFont val="Tahoma"/>
            <family val="2"/>
          </rPr>
          <t xml:space="preserve">
</t>
        </r>
      </text>
    </comment>
    <comment ref="I2529" authorId="2">
      <text>
        <r>
          <rPr>
            <b/>
            <sz val="12"/>
            <rFont val="Tahoma"/>
            <family val="2"/>
          </rPr>
          <t>+ Arndtstr./Längenfeldg.
+ Assmayergasse
- Osawaldgasse
- Spengerg.</t>
        </r>
      </text>
    </comment>
    <comment ref="I3023" authorId="2">
      <text>
        <r>
          <rPr>
            <b/>
            <sz val="14"/>
            <color indexed="14"/>
            <rFont val="Tahoma"/>
            <family val="2"/>
          </rPr>
          <t>unbrauchbarer SCHEI$$</t>
        </r>
      </text>
    </comment>
    <comment ref="I1900" authorId="2">
      <text>
        <r>
          <rPr>
            <b/>
            <sz val="12"/>
            <rFont val="Tahoma"/>
            <family val="2"/>
          </rPr>
          <t>~ 30%  Zwiebel</t>
        </r>
        <r>
          <rPr>
            <sz val="8"/>
            <rFont val="Tahoma"/>
            <family val="2"/>
          </rPr>
          <t xml:space="preserve">
</t>
        </r>
      </text>
    </comment>
    <comment ref="I420" authorId="2">
      <text>
        <r>
          <rPr>
            <b/>
            <sz val="10"/>
            <rFont val="Tahoma"/>
            <family val="2"/>
          </rPr>
          <t>Schalen:  27%</t>
        </r>
      </text>
    </comment>
    <comment ref="I105" authorId="2">
      <text>
        <r>
          <rPr>
            <b/>
            <sz val="10"/>
            <rFont val="Tahoma"/>
            <family val="2"/>
          </rPr>
          <t xml:space="preserve">99.88% Zitr.saft
+Ascorbinsre
+Na-metabisulfit
</t>
        </r>
        <r>
          <rPr>
            <b/>
            <sz val="10"/>
            <color indexed="14"/>
            <rFont val="Tahoma"/>
            <family val="2"/>
          </rPr>
          <t>Plastikhülle</t>
        </r>
      </text>
    </comment>
    <comment ref="I2857" authorId="2">
      <text>
        <r>
          <rPr>
            <b/>
            <sz val="10"/>
            <rFont val="Tahoma"/>
            <family val="2"/>
          </rPr>
          <t>Alkohol,
Thymol,
Benzoesäure, Benzoat
Fluorid</t>
        </r>
      </text>
    </comment>
    <comment ref="I2854" authorId="2">
      <text>
        <r>
          <rPr>
            <b/>
            <sz val="10"/>
            <rFont val="Tahoma"/>
            <family val="2"/>
          </rPr>
          <t>Alkohol,
Thymol,
Benzoesäure, Benzoat
Fluorid</t>
        </r>
      </text>
    </comment>
    <comment ref="I2858" authorId="2">
      <text>
        <r>
          <rPr>
            <b/>
            <sz val="10"/>
            <rFont val="Tahoma"/>
            <family val="2"/>
          </rPr>
          <t>Alkohol,
ZnCl2,
Benzoesäure, Benzoat
Fluorid</t>
        </r>
      </text>
    </comment>
    <comment ref="I868" authorId="2">
      <text>
        <r>
          <rPr>
            <b/>
            <sz val="12"/>
            <color indexed="12"/>
            <rFont val="Tahoma"/>
            <family val="2"/>
          </rPr>
          <t>Linsen, Wasser, Salz</t>
        </r>
      </text>
    </comment>
    <comment ref="I2183" authorId="2">
      <text>
        <r>
          <rPr>
            <b/>
            <sz val="10"/>
            <rFont val="Tahoma"/>
            <family val="2"/>
          </rPr>
          <t>Weinessig,
Bohnenkraut,
Oregano</t>
        </r>
      </text>
    </comment>
    <comment ref="I851" authorId="2">
      <text>
        <r>
          <rPr>
            <b/>
            <sz val="8"/>
            <rFont val="Tahoma"/>
            <family val="2"/>
          </rPr>
          <t>Fisolen, Wasser, Salz</t>
        </r>
      </text>
    </comment>
    <comment ref="I856" authorId="2">
      <text>
        <r>
          <rPr>
            <b/>
            <sz val="8"/>
            <rFont val="Tahoma"/>
            <family val="2"/>
          </rPr>
          <t>Fisolen, Wasser, Salz</t>
        </r>
      </text>
    </comment>
    <comment ref="I2182" authorId="2">
      <text>
        <r>
          <rPr>
            <b/>
            <sz val="10"/>
            <rFont val="Tahoma"/>
            <family val="2"/>
          </rPr>
          <t>Weinessig,
Bohnenkraut,
Oregano</t>
        </r>
      </text>
    </comment>
    <comment ref="I2528" authorId="2">
      <text>
        <r>
          <rPr>
            <b/>
            <sz val="12"/>
            <rFont val="Tahoma"/>
            <family val="2"/>
          </rPr>
          <t>+ Arndtstr./Längenfeldg.
+ Assmayergasse
- Osawaldgasse
- Spengerg.</t>
        </r>
      </text>
    </comment>
    <comment ref="I2775" authorId="3">
      <text>
        <r>
          <rPr>
            <b/>
            <sz val="12"/>
            <rFont val="Tahoma"/>
            <family val="2"/>
          </rPr>
          <t>" QUALITY + CHARITY "</t>
        </r>
      </text>
    </comment>
    <comment ref="I2776" authorId="3">
      <text>
        <r>
          <rPr>
            <b/>
            <sz val="12"/>
            <rFont val="Tahoma"/>
            <family val="2"/>
          </rPr>
          <t>" QUALITY + CHARITY "</t>
        </r>
      </text>
    </comment>
    <comment ref="I2774" authorId="3">
      <text>
        <r>
          <rPr>
            <b/>
            <sz val="12"/>
            <rFont val="Tahoma"/>
            <family val="2"/>
          </rPr>
          <t>" QUALITY + CHARITY "</t>
        </r>
      </text>
    </comment>
    <comment ref="I2786" authorId="2">
      <text>
        <r>
          <rPr>
            <b/>
            <sz val="12"/>
            <rFont val="Tahoma"/>
            <family val="2"/>
          </rPr>
          <t>SAUGUAT
aber nicht mehr zu kriegen !?!</t>
        </r>
      </text>
    </comment>
    <comment ref="I1083" authorId="2">
      <text>
        <r>
          <rPr>
            <b/>
            <sz val="12"/>
            <rFont val="Tahoma"/>
            <family val="2"/>
          </rPr>
          <t>fester</t>
        </r>
      </text>
    </comment>
    <comment ref="I1093" authorId="2">
      <text>
        <r>
          <rPr>
            <b/>
            <sz val="12"/>
            <rFont val="Tahoma"/>
            <family val="2"/>
          </rPr>
          <t>durchaus lecker
'schwimmt' jedoch in Fett</t>
        </r>
      </text>
    </comment>
    <comment ref="I1480" authorId="2">
      <text>
        <r>
          <rPr>
            <b/>
            <sz val="14"/>
            <color indexed="10"/>
            <rFont val="Tahoma"/>
            <family val="2"/>
          </rPr>
          <t>BUTTER !</t>
        </r>
      </text>
    </comment>
    <comment ref="A3" authorId="2">
      <text>
        <r>
          <rPr>
            <sz val="14"/>
            <rFont val="Tahoma"/>
            <family val="2"/>
          </rPr>
          <t xml:space="preserve">% Abweichung -&gt; </t>
        </r>
        <r>
          <rPr>
            <b/>
            <sz val="14"/>
            <color indexed="10"/>
            <rFont val="Tahoma"/>
            <family val="2"/>
          </rPr>
          <t>BedingteFormattierung</t>
        </r>
        <r>
          <rPr>
            <sz val="14"/>
            <rFont val="Tahoma"/>
            <family val="2"/>
          </rPr>
          <t xml:space="preserve">
</t>
        </r>
      </text>
    </comment>
    <comment ref="I1479" authorId="2">
      <text>
        <r>
          <rPr>
            <b/>
            <sz val="12"/>
            <color indexed="14"/>
            <rFont val="Tahoma"/>
            <family val="2"/>
          </rPr>
          <t>Malz,</t>
        </r>
        <r>
          <rPr>
            <sz val="12"/>
            <rFont val="Tahoma"/>
            <family val="2"/>
          </rPr>
          <t xml:space="preserve"> </t>
        </r>
        <r>
          <rPr>
            <b/>
            <sz val="12"/>
            <color indexed="10"/>
            <rFont val="Tahoma"/>
            <family val="2"/>
          </rPr>
          <t>BUTTER</t>
        </r>
        <r>
          <rPr>
            <sz val="12"/>
            <rFont val="Tahoma"/>
            <family val="2"/>
          </rPr>
          <t xml:space="preserve">
</t>
        </r>
      </text>
    </comment>
    <comment ref="I1476" authorId="2">
      <text>
        <r>
          <rPr>
            <b/>
            <sz val="14"/>
            <color indexed="57"/>
            <rFont val="Tahoma"/>
            <family val="2"/>
          </rPr>
          <t>NUR AUF BESTELLUNG !</t>
        </r>
      </text>
    </comment>
    <comment ref="I2856" authorId="2">
      <text>
        <r>
          <rPr>
            <b/>
            <sz val="10"/>
            <rFont val="Tahoma"/>
            <family val="2"/>
          </rPr>
          <t>Alkohol,
Thymol,
Benzoesäure, Benzoat
Fluorid</t>
        </r>
      </text>
    </comment>
    <comment ref="I1475" authorId="2">
      <text>
        <r>
          <rPr>
            <b/>
            <sz val="14"/>
            <color indexed="14"/>
            <rFont val="Tahoma"/>
            <family val="2"/>
          </rPr>
          <t>Zuckerrübensirup</t>
        </r>
      </text>
    </comment>
    <comment ref="I1408" authorId="2">
      <text>
        <r>
          <rPr>
            <b/>
            <sz val="12"/>
            <color indexed="14"/>
            <rFont val="Tahoma"/>
            <family val="2"/>
          </rPr>
          <t>Malz</t>
        </r>
      </text>
    </comment>
    <comment ref="I2982" authorId="2">
      <text>
        <r>
          <rPr>
            <b/>
            <sz val="12"/>
            <rFont val="Tahoma"/>
            <family val="2"/>
          </rPr>
          <t>etwas gröber &amp; fester</t>
        </r>
      </text>
    </comment>
    <comment ref="I2855" authorId="2">
      <text>
        <r>
          <rPr>
            <b/>
            <sz val="10"/>
            <rFont val="Tahoma"/>
            <family val="2"/>
          </rPr>
          <t>Alkohol,
Thymol,
Benzoesäure, Benzoat
Fluorid</t>
        </r>
      </text>
    </comment>
    <comment ref="I2977" authorId="2">
      <text>
        <r>
          <rPr>
            <sz val="10"/>
            <rFont val="Tahoma"/>
            <family val="2"/>
          </rPr>
          <t xml:space="preserve">kaum vom Rapunzel zu unterscheiden
</t>
        </r>
      </text>
    </comment>
    <comment ref="I635" authorId="2">
      <text>
        <r>
          <rPr>
            <b/>
            <sz val="8"/>
            <rFont val="Tahoma"/>
            <family val="2"/>
          </rPr>
          <t>mit Wacholderbeeren</t>
        </r>
      </text>
    </comment>
    <comment ref="F2580" authorId="4">
      <text>
        <r>
          <rPr>
            <sz val="12"/>
            <color indexed="14"/>
            <rFont val="Tahoma"/>
            <family val="2"/>
          </rPr>
          <t>NUR MIT LUPE --und dann auch kaum-- LESBAR !</t>
        </r>
        <r>
          <rPr>
            <sz val="8"/>
            <rFont val="Tahoma"/>
            <family val="2"/>
          </rPr>
          <t xml:space="preserve">
</t>
        </r>
      </text>
    </comment>
    <comment ref="I645" authorId="2">
      <text>
        <r>
          <rPr>
            <b/>
            <sz val="12"/>
            <rFont val="Tahoma"/>
            <family val="2"/>
          </rPr>
          <t>Kraut, Salz, Asc.sre</t>
        </r>
      </text>
    </comment>
    <comment ref="I2527" authorId="2">
      <text>
        <r>
          <rPr>
            <b/>
            <sz val="12"/>
            <rFont val="Tahoma"/>
            <family val="2"/>
          </rPr>
          <t>+ Arndtstr./Längenfeldg.
+ Assmayergasse
- Osawaldgasse
- Spengerg.</t>
        </r>
      </text>
    </comment>
    <comment ref="I1122" authorId="2">
      <text>
        <r>
          <rPr>
            <b/>
            <sz val="12"/>
            <color indexed="12"/>
            <rFont val="Tahoma"/>
            <family val="2"/>
          </rPr>
          <t>LANGE haltbar !</t>
        </r>
      </text>
    </comment>
    <comment ref="I907" authorId="4">
      <text>
        <r>
          <rPr>
            <b/>
            <sz val="12"/>
            <color indexed="57"/>
            <rFont val="Tahoma"/>
            <family val="2"/>
          </rPr>
          <t>KicherKichererbsen + Wasser + 0</t>
        </r>
      </text>
    </comment>
    <comment ref="I927" authorId="4">
      <text>
        <r>
          <rPr>
            <b/>
            <sz val="8"/>
            <rFont val="Tahoma"/>
            <family val="2"/>
          </rPr>
          <t>Bohnen + Wasser + 0</t>
        </r>
      </text>
    </comment>
    <comment ref="I947" authorId="4">
      <text>
        <r>
          <rPr>
            <b/>
            <sz val="12"/>
            <rFont val="Tahoma"/>
            <family val="2"/>
          </rPr>
          <t>Bohnen, W, Salz.</t>
        </r>
      </text>
    </comment>
    <comment ref="I1082" authorId="2">
      <text>
        <r>
          <rPr>
            <b/>
            <sz val="12"/>
            <rFont val="Tahoma"/>
            <family val="2"/>
          </rPr>
          <t>fester</t>
        </r>
      </text>
    </comment>
    <comment ref="I1485" authorId="2">
      <text>
        <r>
          <rPr>
            <b/>
            <sz val="12"/>
            <color indexed="48"/>
            <rFont val="Tahoma"/>
            <family val="2"/>
          </rPr>
          <t>mit etwas Wasser besprüht + kurz auf dem Toaster erhitzt =&gt; ****</t>
        </r>
        <r>
          <rPr>
            <sz val="8"/>
            <rFont val="Tahoma"/>
            <family val="2"/>
          </rPr>
          <t xml:space="preserve">
fenche
</t>
        </r>
      </text>
    </comment>
    <comment ref="I2981" authorId="2">
      <text>
        <r>
          <rPr>
            <b/>
            <sz val="12"/>
            <rFont val="Tahoma"/>
            <family val="2"/>
          </rPr>
          <t>etwas gröber &amp; fester</t>
        </r>
      </text>
    </comment>
    <comment ref="I906" authorId="4">
      <text>
        <r>
          <rPr>
            <b/>
            <sz val="12"/>
            <color indexed="57"/>
            <rFont val="Tahoma"/>
            <family val="2"/>
          </rPr>
          <t>KicherKichererbsen + Wasser + 0</t>
        </r>
      </text>
    </comment>
    <comment ref="I1081" authorId="2">
      <text>
        <r>
          <rPr>
            <b/>
            <sz val="12"/>
            <rFont val="Tahoma"/>
            <family val="2"/>
          </rPr>
          <t>fester</t>
        </r>
      </text>
    </comment>
    <comment ref="I171" authorId="2">
      <text>
        <r>
          <rPr>
            <b/>
            <sz val="10"/>
            <rFont val="Tahoma"/>
            <family val="2"/>
          </rPr>
          <t>ziemlich hart, jedoch ERSTAUNLICH schnell nachreifend</t>
        </r>
        <r>
          <rPr>
            <sz val="8"/>
            <rFont val="Tahoma"/>
            <family val="2"/>
          </rPr>
          <t xml:space="preserve">
</t>
        </r>
      </text>
    </comment>
    <comment ref="I941" authorId="4">
      <text>
        <r>
          <rPr>
            <b/>
            <sz val="8"/>
            <rFont val="Tahoma"/>
            <family val="2"/>
          </rPr>
          <t>Bohnen + Wasser + 0</t>
        </r>
      </text>
    </comment>
    <comment ref="K173" authorId="2">
      <text>
        <r>
          <rPr>
            <b/>
            <sz val="12"/>
            <rFont val="Tahoma"/>
            <family val="2"/>
          </rPr>
          <t>~die Gleichen !</t>
        </r>
      </text>
    </comment>
    <comment ref="I2184" authorId="4">
      <text>
        <r>
          <rPr>
            <b/>
            <sz val="10"/>
            <rFont val="Tahoma"/>
            <family val="2"/>
          </rPr>
          <t xml:space="preserve">Zitronensaft
</t>
        </r>
        <r>
          <rPr>
            <b/>
            <sz val="10"/>
            <color indexed="14"/>
            <rFont val="Tahoma"/>
            <family val="2"/>
          </rPr>
          <t>Milchsäure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0"/>
            <color indexed="14"/>
            <rFont val="Tahoma"/>
            <family val="2"/>
          </rPr>
          <t>SCHEISSetikett</t>
        </r>
      </text>
    </comment>
    <comment ref="I660" authorId="4">
      <text>
        <r>
          <rPr>
            <b/>
            <sz val="8"/>
            <rFont val="Tahoma"/>
            <family val="2"/>
          </rPr>
          <t>Zwiebel, Palm-Öl, Weizenmehl, Salz</t>
        </r>
      </text>
    </comment>
    <comment ref="I2024" authorId="2">
      <text>
        <r>
          <rPr>
            <b/>
            <sz val="12"/>
            <color indexed="57"/>
            <rFont val="Tahoma"/>
            <family val="2"/>
          </rPr>
          <t>AUSGEZEICHNET !
Da dürften ein paar MOST-Birnen dabei sein !</t>
        </r>
        <r>
          <rPr>
            <sz val="8"/>
            <rFont val="Tahoma"/>
            <family val="2"/>
          </rPr>
          <t xml:space="preserve">
</t>
        </r>
      </text>
    </comment>
    <comment ref="I2573" authorId="2">
      <text>
        <r>
          <rPr>
            <b/>
            <sz val="12"/>
            <rFont val="Tahoma"/>
            <family val="2"/>
          </rPr>
          <t>Zucker/Eier
aber KEIN Milch,G/F-Sirup, ...</t>
        </r>
      </text>
    </comment>
    <comment ref="I2572" authorId="2">
      <text>
        <r>
          <rPr>
            <b/>
            <sz val="12"/>
            <rFont val="Tahoma"/>
            <family val="2"/>
          </rPr>
          <t>Zucker/Eier
aber KEIN Milch,G/F-Sirup, ...</t>
        </r>
      </text>
    </comment>
    <comment ref="I166" authorId="2">
      <text>
        <r>
          <rPr>
            <b/>
            <sz val="12"/>
            <rFont val="Tahoma"/>
            <family val="2"/>
          </rPr>
          <t>?VERSCHIEDENE in verschiedenen Filialen ?</t>
        </r>
        <r>
          <rPr>
            <sz val="12"/>
            <rFont val="Tahoma"/>
            <family val="2"/>
          </rPr>
          <t xml:space="preserve">
</t>
        </r>
      </text>
    </comment>
    <comment ref="I2571" authorId="2">
      <text>
        <r>
          <rPr>
            <b/>
            <sz val="12"/>
            <rFont val="Tahoma"/>
            <family val="2"/>
          </rPr>
          <t>Zucker/Eier
aber KEIN Milch,G/F-Sirup, ...</t>
        </r>
      </text>
    </comment>
    <comment ref="I2569" authorId="2">
      <text>
        <r>
          <rPr>
            <b/>
            <sz val="12"/>
            <rFont val="Tahoma"/>
            <family val="2"/>
          </rPr>
          <t>Zucker/Eier, Rahm,
aber KEIN G/F-Sirup, ...</t>
        </r>
      </text>
    </comment>
    <comment ref="I2843" authorId="2">
      <text>
        <r>
          <rPr>
            <b/>
            <sz val="10"/>
            <rFont val="Tahoma"/>
            <family val="2"/>
          </rPr>
          <t>Propylenglykol
Eugenol
Benzoat
Fluorid</t>
        </r>
      </text>
    </comment>
    <comment ref="I2921" authorId="2">
      <text>
        <r>
          <rPr>
            <sz val="12"/>
            <rFont val="Tahoma"/>
            <family val="2"/>
          </rPr>
          <t>WAR im Regal angeschrieben mit "4,99"</t>
        </r>
      </text>
    </comment>
    <comment ref="I1414" authorId="4">
      <text>
        <r>
          <rPr>
            <sz val="12"/>
            <rFont val="Tahoma"/>
            <family val="2"/>
          </rPr>
          <t>Kasten = gröber gemahlen als Laib</t>
        </r>
      </text>
    </comment>
    <comment ref="I2547" authorId="2">
      <text>
        <r>
          <rPr>
            <b/>
            <sz val="14"/>
            <rFont val="Tahoma"/>
            <family val="2"/>
          </rPr>
          <t xml:space="preserve">ca. 10,- Ev/l
</t>
        </r>
      </text>
    </comment>
    <comment ref="I903" authorId="4">
      <text>
        <r>
          <rPr>
            <b/>
            <sz val="12"/>
            <color indexed="57"/>
            <rFont val="Tahoma"/>
            <family val="2"/>
          </rPr>
          <t>KicherKichererbsen + Wasser + 0</t>
        </r>
      </text>
    </comment>
    <comment ref="I2546" authorId="2">
      <text>
        <r>
          <rPr>
            <b/>
            <sz val="14"/>
            <rFont val="Tahoma"/>
            <family val="2"/>
          </rPr>
          <t xml:space="preserve">ca. 10,- Ev/l
</t>
        </r>
      </text>
    </comment>
    <comment ref="I233" authorId="2">
      <text>
        <r>
          <rPr>
            <b/>
            <sz val="12"/>
            <rFont val="Tahoma"/>
            <family val="2"/>
          </rPr>
          <t>Schale essbar!</t>
        </r>
      </text>
    </comment>
    <comment ref="I244" authorId="2">
      <text>
        <r>
          <rPr>
            <b/>
            <sz val="8"/>
            <rFont val="Tahoma"/>
            <family val="2"/>
          </rPr>
          <t>innen:gelb, außen:grün</t>
        </r>
      </text>
    </comment>
    <comment ref="I900" authorId="4">
      <text>
        <r>
          <rPr>
            <b/>
            <sz val="12"/>
            <color indexed="57"/>
            <rFont val="Tahoma"/>
            <family val="2"/>
          </rPr>
          <t>KicherKichererbsen + Wasser + Meersalz</t>
        </r>
      </text>
    </comment>
    <comment ref="I2570" authorId="2">
      <text>
        <r>
          <rPr>
            <b/>
            <sz val="12"/>
            <rFont val="Tahoma"/>
            <family val="2"/>
          </rPr>
          <t>Zucker/Eier
aber KEIN Milch,G/F-Sirup, ...</t>
        </r>
      </text>
    </comment>
    <comment ref="I1895" authorId="2">
      <text>
        <r>
          <rPr>
            <b/>
            <sz val="10"/>
            <rFont val="Tahoma"/>
            <family val="2"/>
          </rPr>
          <t>Zwiebeln, Petersilie, Basilikum, grünerKnoblauch, Thymian, Oregano</t>
        </r>
      </text>
    </comment>
    <comment ref="I1511" authorId="4">
      <text>
        <r>
          <rPr>
            <b/>
            <sz val="10"/>
            <rFont val="Tahoma"/>
            <family val="2"/>
          </rPr>
          <t xml:space="preserve">61% Früchte
</t>
        </r>
        <r>
          <rPr>
            <b/>
            <sz val="10"/>
            <color indexed="14"/>
            <rFont val="Tahoma"/>
            <family val="2"/>
          </rPr>
          <t>Glukosesirup + Sorbit? in Aranzini</t>
        </r>
        <r>
          <rPr>
            <b/>
            <sz val="10"/>
            <rFont val="Tahoma"/>
            <family val="2"/>
          </rPr>
          <t xml:space="preserve">
vegan, E-Stofffrei</t>
        </r>
      </text>
    </comment>
    <comment ref="I870" authorId="4">
      <text>
        <r>
          <rPr>
            <b/>
            <sz val="12"/>
            <color indexed="57"/>
            <rFont val="Tahoma"/>
            <family val="2"/>
          </rPr>
          <t>Linsen + Wasser +Tomaten + 0</t>
        </r>
      </text>
    </comment>
    <comment ref="I1483" authorId="2">
      <text>
        <r>
          <rPr>
            <b/>
            <sz val="10"/>
            <color indexed="10"/>
            <rFont val="Tahoma"/>
            <family val="2"/>
          </rPr>
          <t>ZUCKER, Malz, ...</t>
        </r>
      </text>
    </comment>
    <comment ref="I1283" authorId="2">
      <text>
        <r>
          <rPr>
            <b/>
            <sz val="8"/>
            <rFont val="Tahoma"/>
            <family val="2"/>
          </rPr>
          <t>riecht NICHT gut</t>
        </r>
      </text>
    </comment>
    <comment ref="I2978" authorId="2">
      <text>
        <r>
          <rPr>
            <b/>
            <sz val="12"/>
            <rFont val="Tahoma"/>
            <family val="2"/>
          </rPr>
          <t>sehr fein &amp; ziemlich (dünn)flüssig</t>
        </r>
      </text>
    </comment>
    <comment ref="I2980" authorId="2">
      <text>
        <r>
          <rPr>
            <b/>
            <sz val="12"/>
            <rFont val="Tahoma"/>
            <family val="2"/>
          </rPr>
          <t>etwas gröber &amp; fester</t>
        </r>
      </text>
    </comment>
    <comment ref="I940" authorId="4">
      <text>
        <r>
          <rPr>
            <b/>
            <sz val="8"/>
            <rFont val="Tahoma"/>
            <family val="2"/>
          </rPr>
          <t>Bohnen + Wasser + 0</t>
        </r>
      </text>
    </comment>
    <comment ref="I2335" authorId="2">
      <text>
        <r>
          <rPr>
            <b/>
            <sz val="10"/>
            <rFont val="Tahoma"/>
            <family val="2"/>
          </rPr>
          <t xml:space="preserve">Apfel 40%
Hagebutte </t>
        </r>
        <r>
          <rPr>
            <b/>
            <sz val="10"/>
            <color indexed="12"/>
            <rFont val="Tahoma"/>
            <family val="2"/>
          </rPr>
          <t>15%</t>
        </r>
        <r>
          <rPr>
            <b/>
            <sz val="10"/>
            <rFont val="Tahoma"/>
            <family val="2"/>
          </rPr>
          <t xml:space="preserve">
Hibiskus 13%
Rote Bete</t>
        </r>
        <r>
          <rPr>
            <b/>
            <sz val="10"/>
            <color indexed="12"/>
            <rFont val="Tahoma"/>
            <family val="2"/>
          </rPr>
          <t xml:space="preserve"> 8%</t>
        </r>
        <r>
          <rPr>
            <b/>
            <sz val="10"/>
            <rFont val="Tahoma"/>
            <family val="2"/>
          </rPr>
          <t xml:space="preserve">
Orangenschale 5%
Zitronenschale</t>
        </r>
        <r>
          <rPr>
            <b/>
            <sz val="10"/>
            <color indexed="12"/>
            <rFont val="Tahoma"/>
            <family val="2"/>
          </rPr>
          <t xml:space="preserve"> 5%</t>
        </r>
        <r>
          <rPr>
            <b/>
            <sz val="10"/>
            <rFont val="Tahoma"/>
            <family val="2"/>
          </rPr>
          <t xml:space="preserve">
Holunderbeeren 4%</t>
        </r>
      </text>
    </comment>
    <comment ref="I2336" authorId="2">
      <text>
        <r>
          <rPr>
            <b/>
            <sz val="10"/>
            <rFont val="Tahoma"/>
            <family val="2"/>
          </rPr>
          <t xml:space="preserve">Apfel 43%
Hibiskus </t>
        </r>
        <r>
          <rPr>
            <b/>
            <sz val="10"/>
            <color indexed="12"/>
            <rFont val="Tahoma"/>
            <family val="2"/>
          </rPr>
          <t>31%</t>
        </r>
        <r>
          <rPr>
            <b/>
            <sz val="10"/>
            <rFont val="Tahoma"/>
            <family val="2"/>
          </rPr>
          <t xml:space="preserve">
Orangenschale 9%
Zitronenschale </t>
        </r>
        <r>
          <rPr>
            <b/>
            <sz val="10"/>
            <color indexed="12"/>
            <rFont val="Tahoma"/>
            <family val="2"/>
          </rPr>
          <t>9%</t>
        </r>
        <r>
          <rPr>
            <b/>
            <sz val="10"/>
            <rFont val="Tahoma"/>
            <family val="2"/>
          </rPr>
          <t xml:space="preserve">
Rote Bete </t>
        </r>
        <r>
          <rPr>
            <b/>
            <sz val="10"/>
            <color indexed="12"/>
            <rFont val="Tahoma"/>
            <family val="2"/>
          </rPr>
          <t>8%</t>
        </r>
      </text>
    </comment>
    <comment ref="I2334" authorId="2">
      <text>
        <r>
          <rPr>
            <b/>
            <sz val="10"/>
            <rFont val="Tahoma"/>
            <family val="2"/>
          </rPr>
          <t xml:space="preserve">Hibiskus
Hagebutten
Apfel
Himbeeren
Vanille-Extrakt
</t>
        </r>
      </text>
    </comment>
    <comment ref="I1997" authorId="2">
      <text>
        <r>
          <rPr>
            <sz val="10"/>
            <rFont val="Tahoma"/>
            <family val="2"/>
          </rPr>
          <t>Chili(51%), Vinegar, Salt, + 0</t>
        </r>
      </text>
    </comment>
    <comment ref="I1618" authorId="4">
      <text>
        <r>
          <rPr>
            <b/>
            <sz val="14"/>
            <rFont val="Tahoma"/>
            <family val="2"/>
          </rPr>
          <t>nur 3% Salz!</t>
        </r>
      </text>
    </comment>
    <comment ref="I2881" authorId="2">
      <text>
        <r>
          <rPr>
            <b/>
            <sz val="8"/>
            <rFont val="Tahoma"/>
            <family val="2"/>
          </rPr>
          <t>nicht mehr auf Lager</t>
        </r>
        <r>
          <rPr>
            <sz val="8"/>
            <rFont val="Tahoma"/>
            <family val="2"/>
          </rPr>
          <t xml:space="preserve">
</t>
        </r>
      </text>
    </comment>
    <comment ref="I2287" authorId="2">
      <text>
        <r>
          <rPr>
            <b/>
            <sz val="12"/>
            <rFont val="Tahoma"/>
            <family val="2"/>
          </rPr>
          <t>nur mit Xylit gesüßt</t>
        </r>
      </text>
    </comment>
    <comment ref="B1" authorId="2">
      <text>
        <r>
          <rPr>
            <b/>
            <sz val="12"/>
            <rFont val="Courier New"/>
            <family val="3"/>
          </rPr>
          <t>Xylit:   2.4 kcal/g     10
CH3COOH: 3.0 kcal/g     13
KH:      3.9 kcal/g     16 kJ/g
EW:      4.1 kcal/g     18
EtOH:    7.1 kcal/g     30
F:       9.3 kcal/g     39</t>
        </r>
        <r>
          <rPr>
            <b/>
            <sz val="12"/>
            <rFont val="Tahoma"/>
            <family val="2"/>
          </rPr>
          <t xml:space="preserve">
In der Nährwertkennzeichnung der EU wird nicht der tatsächliche Brennwert eines Lebensmittels angegeben, sondern ein rein rechnerischer, der sich auf grobe Durchschnittswerte einiger Grundbestandteile stützt
1 cal = 4.184 J</t>
        </r>
      </text>
    </comment>
    <comment ref="D2287" authorId="2">
      <text>
        <r>
          <rPr>
            <b/>
            <sz val="10"/>
            <rFont val="Tahoma"/>
            <family val="2"/>
          </rPr>
          <t>~1/3 ungesättigt</t>
        </r>
      </text>
    </comment>
    <comment ref="I2267" authorId="2">
      <text>
        <r>
          <rPr>
            <b/>
            <sz val="12"/>
            <rFont val="Tahoma"/>
            <family val="2"/>
          </rPr>
          <t>und NOCH TEURERE</t>
        </r>
      </text>
    </comment>
    <comment ref="I2275" authorId="3">
      <text>
        <r>
          <rPr>
            <b/>
            <sz val="10"/>
            <rFont val="Tahoma"/>
            <family val="2"/>
          </rPr>
          <t xml:space="preserve">Kakao/Zucker/
</t>
        </r>
        <r>
          <rPr>
            <b/>
            <sz val="10"/>
            <color indexed="10"/>
            <rFont val="Tahoma"/>
            <family val="2"/>
          </rPr>
          <t>Pflanzenfett GEHÄRTET</t>
        </r>
      </text>
    </comment>
    <comment ref="I2195" authorId="2">
      <text>
        <r>
          <rPr>
            <b/>
            <sz val="12"/>
            <rFont val="Tahoma"/>
            <family val="2"/>
          </rPr>
          <t xml:space="preserve">Zucker- und E-Stoff-frei
</t>
        </r>
        <r>
          <rPr>
            <b/>
            <sz val="12"/>
            <color indexed="14"/>
            <rFont val="Tahoma"/>
            <family val="2"/>
          </rPr>
          <t>SCHEISSETIKETT</t>
        </r>
      </text>
    </comment>
    <comment ref="I1894" authorId="2">
      <text>
        <r>
          <rPr>
            <b/>
            <sz val="10"/>
            <rFont val="Tahoma"/>
            <family val="2"/>
          </rPr>
          <t>Zwiebeln, Petersilie, Basilikum, grünerKnoblauch, Thymian, Oregano</t>
        </r>
      </text>
    </comment>
    <comment ref="I3013" authorId="2">
      <text>
        <r>
          <rPr>
            <b/>
            <sz val="14"/>
            <rFont val="Tahoma"/>
            <family val="2"/>
          </rPr>
          <t>passt NICHT auf tixo-abreißer</t>
        </r>
        <r>
          <rPr>
            <sz val="8"/>
            <rFont val="Tahoma"/>
            <family val="2"/>
          </rPr>
          <t xml:space="preserve">
 </t>
        </r>
      </text>
    </comment>
    <comment ref="I2749" authorId="2">
      <text>
        <r>
          <rPr>
            <sz val="12"/>
            <rFont val="Tahoma"/>
            <family val="2"/>
          </rPr>
          <t>HEM Floral Bouquet
HEM Magnolia
TULASI Magnolia
SITAL White Musk
DARSHAN</t>
        </r>
      </text>
    </comment>
    <comment ref="I2286" authorId="2">
      <text>
        <r>
          <rPr>
            <b/>
            <sz val="12"/>
            <rFont val="Tahoma"/>
            <family val="2"/>
          </rPr>
          <t>nur mit Xylit gesüßt</t>
        </r>
      </text>
    </comment>
    <comment ref="I2019" authorId="2">
      <text>
        <r>
          <rPr>
            <b/>
            <sz val="10"/>
            <rFont val="Tahoma"/>
            <family val="2"/>
          </rPr>
          <t>neues verpakkungsDESICKN
mieserer Inhalt</t>
        </r>
      </text>
    </comment>
    <comment ref="I1897" authorId="2">
      <text>
        <r>
          <rPr>
            <b/>
            <sz val="14"/>
            <color indexed="14"/>
            <rFont val="Tahoma"/>
            <family val="2"/>
          </rPr>
          <t>5% ÖL</t>
        </r>
      </text>
    </comment>
    <comment ref="I1828" authorId="2">
      <text>
        <r>
          <rPr>
            <b/>
            <sz val="10"/>
            <color indexed="14"/>
            <rFont val="Tahoma"/>
            <family val="2"/>
          </rPr>
          <t>Zucker und
Karamellzuckersirup
19% Senf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I1891" authorId="2">
      <text>
        <r>
          <rPr>
            <b/>
            <sz val="8"/>
            <rFont val="Tahoma"/>
            <family val="2"/>
          </rPr>
          <t>Petersilie, Schnittknoblauch, Basilikum, Oregano, Thymian, 32% Zwiebel</t>
        </r>
      </text>
    </comment>
    <comment ref="I1452" authorId="2">
      <text>
        <r>
          <rPr>
            <b/>
            <sz val="10"/>
            <rFont val="Tahoma"/>
            <family val="2"/>
          </rPr>
          <t>seer watteartig</t>
        </r>
      </text>
    </comment>
    <comment ref="I1453" authorId="2">
      <text>
        <r>
          <rPr>
            <b/>
            <sz val="10"/>
            <rFont val="Tahoma"/>
            <family val="2"/>
          </rPr>
          <t>auch sehr watteartig</t>
        </r>
      </text>
    </comment>
    <comment ref="I887" authorId="4">
      <text>
        <r>
          <rPr>
            <b/>
            <sz val="12"/>
            <color indexed="57"/>
            <rFont val="Tahoma"/>
            <family val="2"/>
          </rPr>
          <t>KicherKichererbsen + weiße + braune + rote Bohnen</t>
        </r>
      </text>
    </comment>
    <comment ref="I210" authorId="0">
      <text>
        <r>
          <rPr>
            <b/>
            <sz val="10"/>
            <rFont val="Tahoma"/>
            <family val="2"/>
          </rPr>
          <t>größer, besser gewaschen
987 g, 1024 g</t>
        </r>
      </text>
    </comment>
    <comment ref="I1549" authorId="0">
      <text>
        <r>
          <rPr>
            <b/>
            <sz val="10"/>
            <rFont val="Tahoma"/>
            <family val="2"/>
          </rPr>
          <t>mhr Fett, 
KEIN ZUCKER</t>
        </r>
      </text>
    </comment>
    <comment ref="I1545" authorId="0">
      <text>
        <r>
          <rPr>
            <b/>
            <sz val="10"/>
            <color indexed="14"/>
            <rFont val="Tahoma"/>
            <family val="2"/>
          </rPr>
          <t>Zucker</t>
        </r>
      </text>
    </comment>
    <comment ref="I1548" authorId="0">
      <text>
        <r>
          <rPr>
            <b/>
            <sz val="10"/>
            <rFont val="Tahoma"/>
            <family val="2"/>
          </rPr>
          <t>mhr Fett, 
KEIN ZUCKER</t>
        </r>
      </text>
    </comment>
    <comment ref="I1365" authorId="0">
      <text>
        <r>
          <rPr>
            <b/>
            <sz val="12"/>
            <color indexed="14"/>
            <rFont val="Tahoma"/>
            <family val="2"/>
          </rPr>
          <t>ZUCKER +
MILCHPR</t>
        </r>
      </text>
    </comment>
    <comment ref="I869" authorId="2">
      <text>
        <r>
          <rPr>
            <b/>
            <sz val="12"/>
            <color indexed="12"/>
            <rFont val="Tahoma"/>
            <family val="2"/>
          </rPr>
          <t>Linsen, Wasser, CaCl2</t>
        </r>
      </text>
    </comment>
    <comment ref="I1827" authorId="2">
      <text>
        <r>
          <rPr>
            <b/>
            <sz val="10"/>
            <color indexed="14"/>
            <rFont val="Tahoma"/>
            <family val="2"/>
          </rPr>
          <t>Zucker und
Karamellzuckersirup
19% Senf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I103" authorId="2">
      <text>
        <r>
          <rPr>
            <b/>
            <sz val="10"/>
            <rFont val="Tahoma"/>
            <family val="2"/>
          </rPr>
          <t xml:space="preserve">99.9% Zitr.saft
+K-metabisulfit
</t>
        </r>
        <r>
          <rPr>
            <b/>
            <sz val="10"/>
            <color indexed="12"/>
            <rFont val="Tahoma"/>
            <family val="2"/>
          </rPr>
          <t>Papieretikett</t>
        </r>
      </text>
    </comment>
    <comment ref="I948" authorId="0">
      <text>
        <r>
          <rPr>
            <b/>
            <sz val="14"/>
            <color indexed="14"/>
            <rFont val="Tahoma"/>
            <family val="2"/>
          </rPr>
          <t>EDTA</t>
        </r>
      </text>
    </comment>
    <comment ref="I656" authorId="4">
      <text>
        <r>
          <rPr>
            <b/>
            <sz val="8"/>
            <rFont val="Tahoma"/>
            <family val="2"/>
          </rPr>
          <t>75% Zwiebel, Palm/SoBlu-Öl, Weizenmehl, Salz</t>
        </r>
      </text>
    </comment>
    <comment ref="I1890" authorId="2">
      <text>
        <r>
          <rPr>
            <b/>
            <sz val="8"/>
            <rFont val="Tahoma"/>
            <family val="2"/>
          </rPr>
          <t>Petersilie, Schnittknoblauch, Basilikum, Oregano, Thymian, 32% Zwiebel</t>
        </r>
      </text>
    </comment>
    <comment ref="I899" authorId="4">
      <text>
        <r>
          <rPr>
            <b/>
            <sz val="12"/>
            <rFont val="Tahoma"/>
            <family val="2"/>
          </rPr>
          <t>KE,  W, Salz.</t>
        </r>
      </text>
    </comment>
    <comment ref="I28" authorId="0">
      <text>
        <r>
          <rPr>
            <b/>
            <sz val="12"/>
            <color indexed="14"/>
            <rFont val="Tahoma"/>
            <family val="2"/>
          </rPr>
          <t>nur 6*BESTELLBAR</t>
        </r>
      </text>
    </comment>
    <comment ref="I1329" authorId="0">
      <text>
        <r>
          <rPr>
            <b/>
            <sz val="12"/>
            <rFont val="Tahoma"/>
            <family val="2"/>
          </rPr>
          <t>etwas fester/
sympatischer (?)</t>
        </r>
      </text>
    </comment>
    <comment ref="I1248" authorId="2">
      <text>
        <r>
          <rPr>
            <b/>
            <sz val="12"/>
            <rFont val="Tahoma"/>
            <family val="2"/>
          </rPr>
          <t>Getreidefl.,
Rosinen
Soblu, Apfelwürfel</t>
        </r>
        <r>
          <rPr>
            <sz val="8"/>
            <rFont val="Tahoma"/>
            <family val="2"/>
          </rPr>
          <t xml:space="preserve">
</t>
        </r>
      </text>
    </comment>
    <comment ref="I921" authorId="4">
      <text>
        <r>
          <rPr>
            <b/>
            <sz val="12"/>
            <rFont val="Tahoma"/>
            <family val="2"/>
          </rPr>
          <t>KE,  W, Salz.</t>
        </r>
      </text>
    </comment>
    <comment ref="I644" authorId="2">
      <text>
        <r>
          <rPr>
            <b/>
            <sz val="12"/>
            <rFont val="Tahoma"/>
            <family val="2"/>
          </rPr>
          <t>KaliumSORBAT</t>
        </r>
      </text>
    </comment>
    <comment ref="B447" authorId="0">
      <text>
        <r>
          <rPr>
            <b/>
            <sz val="12"/>
            <rFont val="Tahoma"/>
            <family val="2"/>
          </rPr>
          <t>from WP:</t>
        </r>
        <r>
          <rPr>
            <b/>
            <sz val="8"/>
            <rFont val="Tahoma"/>
            <family val="2"/>
          </rPr>
          <t xml:space="preserve">
https://de.wikipedia.org/wiki/Kartoffel#Durchschnittliche_Zusammensetzung</t>
        </r>
      </text>
    </comment>
    <comment ref="I164" authorId="2">
      <text>
        <r>
          <rPr>
            <b/>
            <sz val="12"/>
            <rFont val="Tahoma"/>
            <family val="2"/>
          </rPr>
          <t>?VERSCHIEDENE in verschiedenen Filialen ?</t>
        </r>
        <r>
          <rPr>
            <sz val="12"/>
            <rFont val="Tahoma"/>
            <family val="2"/>
          </rPr>
          <t xml:space="preserve">
</t>
        </r>
      </text>
    </comment>
    <comment ref="I1399" authorId="0">
      <text>
        <r>
          <rPr>
            <b/>
            <sz val="10"/>
            <rFont val="Tahoma"/>
            <family val="2"/>
          </rPr>
          <t xml:space="preserve">Roggen&gt;Weizen,
</t>
        </r>
        <r>
          <rPr>
            <b/>
            <sz val="10"/>
            <color indexed="10"/>
            <rFont val="Tahoma"/>
            <family val="2"/>
          </rPr>
          <t>Sorbinsäure</t>
        </r>
      </text>
    </comment>
    <comment ref="I1397" authorId="0">
      <text>
        <r>
          <rPr>
            <b/>
            <sz val="10"/>
            <rFont val="Tahoma"/>
            <family val="2"/>
          </rPr>
          <t xml:space="preserve">Weizen&gt;Roggen
+Sesam, SoBlu, Leinsaat
</t>
        </r>
        <r>
          <rPr>
            <b/>
            <sz val="10"/>
            <color indexed="10"/>
            <rFont val="Tahoma"/>
            <family val="2"/>
          </rPr>
          <t>Sorbinsäure</t>
        </r>
      </text>
    </comment>
    <comment ref="I1398" authorId="0">
      <text>
        <r>
          <rPr>
            <b/>
            <sz val="10"/>
            <rFont val="Tahoma"/>
            <family val="2"/>
          </rPr>
          <t xml:space="preserve">Roggen&gt;Weizen,
</t>
        </r>
        <r>
          <rPr>
            <b/>
            <sz val="10"/>
            <color indexed="10"/>
            <rFont val="Tahoma"/>
            <family val="2"/>
          </rPr>
          <t>Sorbinsäure</t>
        </r>
      </text>
    </comment>
    <comment ref="I1396" authorId="0">
      <text>
        <r>
          <rPr>
            <b/>
            <sz val="10"/>
            <rFont val="Tahoma"/>
            <family val="2"/>
          </rPr>
          <t xml:space="preserve">Weizen&gt;Roggen
+Sesam, SoBlu, Leinsaat
</t>
        </r>
        <r>
          <rPr>
            <b/>
            <sz val="10"/>
            <color indexed="10"/>
            <rFont val="Tahoma"/>
            <family val="2"/>
          </rPr>
          <t>Sorbinsäure</t>
        </r>
      </text>
    </comment>
    <comment ref="I1395" authorId="0">
      <text>
        <r>
          <rPr>
            <b/>
            <sz val="10"/>
            <rFont val="Tahoma"/>
            <family val="2"/>
          </rPr>
          <t xml:space="preserve">Weizen&gt;Roggen
+Sesam, SoBlu, Leinsaat
</t>
        </r>
        <r>
          <rPr>
            <b/>
            <sz val="10"/>
            <color indexed="10"/>
            <rFont val="Tahoma"/>
            <family val="2"/>
          </rPr>
          <t>Sorbinsäure</t>
        </r>
      </text>
    </comment>
    <comment ref="I898" authorId="4">
      <text>
        <r>
          <rPr>
            <b/>
            <sz val="12"/>
            <rFont val="Tahoma"/>
            <family val="2"/>
          </rPr>
          <t>KE,  W, Salz.</t>
        </r>
      </text>
    </comment>
    <comment ref="I1394" authorId="0">
      <text>
        <r>
          <rPr>
            <b/>
            <sz val="10"/>
            <color indexed="10"/>
            <rFont val="Tahoma"/>
            <family val="2"/>
          </rPr>
          <t>Propionat</t>
        </r>
      </text>
    </comment>
    <comment ref="I104" authorId="2">
      <text>
        <r>
          <rPr>
            <b/>
            <sz val="10"/>
            <rFont val="Tahoma"/>
            <family val="2"/>
          </rPr>
          <t xml:space="preserve">99.88% Zitr.saft
+Ascorbinsre
+Na-metabisulfit
</t>
        </r>
        <r>
          <rPr>
            <b/>
            <sz val="10"/>
            <color indexed="14"/>
            <rFont val="Tahoma"/>
            <family val="2"/>
          </rPr>
          <t>Plastikhülle</t>
        </r>
      </text>
    </comment>
    <comment ref="I2063" authorId="0">
      <text>
        <r>
          <rPr>
            <b/>
            <sz val="10"/>
            <color indexed="14"/>
            <rFont val="Tahoma"/>
            <family val="2"/>
          </rPr>
          <t>SO2
E150d=ZuckerCol.</t>
        </r>
      </text>
    </comment>
    <comment ref="I2018" authorId="2">
      <text>
        <r>
          <rPr>
            <b/>
            <sz val="10"/>
            <rFont val="Tahoma"/>
            <family val="2"/>
          </rPr>
          <t>neues verpakkungsDESICKN
mieserer Inhalt</t>
        </r>
      </text>
    </comment>
    <comment ref="C2593" authorId="0">
      <text>
        <r>
          <rPr>
            <b/>
            <sz val="16"/>
            <color indexed="10"/>
            <rFont val="Tahoma"/>
            <family val="2"/>
          </rPr>
          <t>g/ml = 0,5(1)</t>
        </r>
      </text>
    </comment>
    <comment ref="I2062" authorId="0">
      <text>
        <r>
          <rPr>
            <b/>
            <sz val="10"/>
            <color indexed="14"/>
            <rFont val="Tahoma"/>
            <family val="2"/>
          </rPr>
          <t>SO2
E150d=ZuckerCol.</t>
        </r>
      </text>
    </comment>
    <comment ref="I2658" authorId="0">
      <text>
        <r>
          <rPr>
            <b/>
            <sz val="10"/>
            <rFont val="Tahoma"/>
            <family val="2"/>
          </rPr>
          <t>LED Filament
"720 lumen
2700 K
Ra &gt;= 95
25000 h"</t>
        </r>
        <r>
          <rPr>
            <b/>
            <sz val="8"/>
            <rFont val="Tahoma"/>
            <family val="2"/>
          </rPr>
          <t xml:space="preserve">
</t>
        </r>
      </text>
    </comment>
    <comment ref="I1940" authorId="0">
      <text>
        <r>
          <rPr>
            <b/>
            <sz val="8"/>
            <rFont val="Tahoma"/>
            <family val="2"/>
          </rPr>
          <t>Tomaten, Salz, Citr.sre.</t>
        </r>
      </text>
    </comment>
    <comment ref="I1941" authorId="0">
      <text>
        <r>
          <rPr>
            <b/>
            <sz val="8"/>
            <rFont val="Tahoma"/>
            <family val="2"/>
          </rPr>
          <t>Tomaten, Salz</t>
        </r>
      </text>
    </comment>
    <comment ref="I1617" authorId="4">
      <text>
        <r>
          <rPr>
            <b/>
            <sz val="14"/>
            <rFont val="Tahoma"/>
            <family val="2"/>
          </rPr>
          <t>nur 3% Salz!</t>
        </r>
      </text>
    </comment>
    <comment ref="I1547" authorId="0">
      <text>
        <r>
          <rPr>
            <b/>
            <sz val="10"/>
            <rFont val="Tahoma"/>
            <family val="2"/>
          </rPr>
          <t>mehr Fett, 
KEIN ZUCKER</t>
        </r>
      </text>
    </comment>
    <comment ref="I24" authorId="0">
      <text>
        <r>
          <rPr>
            <b/>
            <sz val="14"/>
            <color indexed="10"/>
            <rFont val="Tahoma"/>
            <family val="2"/>
          </rPr>
          <t>Inulin
OligoFruktose</t>
        </r>
      </text>
    </comment>
    <comment ref="I1544" authorId="0">
      <text>
        <r>
          <rPr>
            <b/>
            <sz val="10"/>
            <rFont val="Tahoma"/>
            <family val="2"/>
          </rPr>
          <t xml:space="preserve"> </t>
        </r>
        <r>
          <rPr>
            <b/>
            <sz val="10"/>
            <color indexed="10"/>
            <rFont val="Tahoma"/>
            <family val="2"/>
          </rPr>
          <t>ZUCKER</t>
        </r>
      </text>
    </comment>
    <comment ref="I654" authorId="4">
      <text>
        <r>
          <rPr>
            <b/>
            <sz val="8"/>
            <rFont val="Tahoma"/>
            <family val="2"/>
          </rPr>
          <t>Zwiebel, Palm-Öl, Weizenmehl, Salz</t>
        </r>
      </text>
    </comment>
    <comment ref="I2194" authorId="2">
      <text>
        <r>
          <rPr>
            <b/>
            <sz val="12"/>
            <rFont val="Tahoma"/>
            <family val="2"/>
          </rPr>
          <t>Zucker- und E-Stoff-frei</t>
        </r>
      </text>
    </comment>
    <comment ref="I2314" authorId="0">
      <text>
        <r>
          <rPr>
            <b/>
            <sz val="8"/>
            <rFont val="Tahoma"/>
            <family val="2"/>
          </rPr>
          <t>Hühnereitrockeneiweiß</t>
        </r>
      </text>
    </comment>
    <comment ref="I659" authorId="4">
      <text>
        <r>
          <rPr>
            <b/>
            <sz val="8"/>
            <rFont val="Tahoma"/>
            <family val="2"/>
          </rPr>
          <t>Zwiebel, Palm-Öl, Weizenmehl, Salz</t>
        </r>
      </text>
    </comment>
    <comment ref="I3123" authorId="0">
      <text>
        <r>
          <rPr>
            <b/>
            <sz val="14"/>
            <color indexed="10"/>
            <rFont val="Tahoma"/>
            <family val="2"/>
          </rPr>
          <t>unbrauchbarer scheiss</t>
        </r>
      </text>
    </comment>
    <comment ref="I2285" authorId="0">
      <text>
        <r>
          <rPr>
            <b/>
            <sz val="14"/>
            <rFont val="Tahoma"/>
            <family val="2"/>
          </rPr>
          <t>VK-frei ab 50,-</t>
        </r>
      </text>
    </comment>
    <comment ref="I1996" authorId="0">
      <text>
        <r>
          <rPr>
            <b/>
            <sz val="10"/>
            <rFont val="Tahoma"/>
            <family val="2"/>
          </rPr>
          <t>pepper, vinegar, salt, +0</t>
        </r>
        <r>
          <rPr>
            <sz val="8"/>
            <rFont val="Tahoma"/>
            <family val="2"/>
          </rPr>
          <t xml:space="preserve">
</t>
        </r>
      </text>
    </comment>
    <comment ref="I2284" authorId="0">
      <text>
        <r>
          <rPr>
            <b/>
            <sz val="14"/>
            <rFont val="Tahoma"/>
            <family val="2"/>
          </rPr>
          <t>VK-frei ab 50,-</t>
        </r>
      </text>
    </comment>
    <comment ref="I2281" authorId="0">
      <text>
        <r>
          <rPr>
            <b/>
            <sz val="14"/>
            <rFont val="Tahoma"/>
            <family val="2"/>
          </rPr>
          <t>VK-frei ab 50,-</t>
        </r>
      </text>
    </comment>
    <comment ref="I1362" authorId="0">
      <text>
        <r>
          <rPr>
            <b/>
            <sz val="8"/>
            <rFont val="Tahoma"/>
            <family val="2"/>
          </rPr>
          <t>ÜBERFLÜSSIG</t>
        </r>
      </text>
    </comment>
    <comment ref="I1938" authorId="0">
      <text>
        <r>
          <rPr>
            <b/>
            <sz val="8"/>
            <rFont val="Tahoma"/>
            <family val="2"/>
          </rPr>
          <t>Tomaten, Salz, Citr.sre.</t>
        </r>
      </text>
    </comment>
    <comment ref="I2259" authorId="0">
      <text>
        <r>
          <rPr>
            <b/>
            <sz val="8"/>
            <rFont val="Tahoma"/>
            <family val="2"/>
          </rPr>
          <t>keine brauchbarezahlungsweise</t>
        </r>
      </text>
    </comment>
    <comment ref="I2847" authorId="2">
      <text>
        <r>
          <rPr>
            <b/>
            <sz val="10"/>
            <rFont val="Tahoma"/>
            <family val="2"/>
          </rPr>
          <t>Propylenglykol
Eugenol
Benzoat
Fluorid</t>
        </r>
      </text>
    </comment>
    <comment ref="I938" authorId="4">
      <text>
        <r>
          <rPr>
            <b/>
            <sz val="12"/>
            <rFont val="Tahoma"/>
            <family val="2"/>
          </rPr>
          <t>Bohnen, W, Salz.</t>
        </r>
      </text>
    </comment>
    <comment ref="I1939" authorId="0">
      <text>
        <r>
          <rPr>
            <b/>
            <sz val="8"/>
            <rFont val="Tahoma"/>
            <family val="2"/>
          </rPr>
          <t>Tomaten, Salz, Citr.sre.</t>
        </r>
      </text>
    </comment>
    <comment ref="I1162" authorId="0">
      <text>
        <r>
          <rPr>
            <b/>
            <sz val="10"/>
            <rFont val="Tahoma"/>
            <family val="2"/>
          </rPr>
          <t>50% Nussmix
50% Rosinen</t>
        </r>
      </text>
    </comment>
    <comment ref="L1972" authorId="0">
      <text>
        <r>
          <rPr>
            <b/>
            <sz val="8"/>
            <rFont val="Tahoma"/>
            <family val="2"/>
          </rPr>
          <t>gesamt, abtropf: 240g</t>
        </r>
        <r>
          <rPr>
            <sz val="8"/>
            <rFont val="Tahoma"/>
            <family val="2"/>
          </rPr>
          <t xml:space="preserve">
</t>
        </r>
      </text>
    </comment>
    <comment ref="I896" authorId="4">
      <text>
        <r>
          <rPr>
            <b/>
            <sz val="12"/>
            <rFont val="Tahoma"/>
            <family val="2"/>
          </rPr>
          <t>KE,  W, Salz.</t>
        </r>
      </text>
    </comment>
    <comment ref="I2846" authorId="2">
      <text>
        <r>
          <rPr>
            <b/>
            <sz val="10"/>
            <rFont val="Tahoma"/>
            <family val="2"/>
          </rPr>
          <t>Alkohol,
Thymol,
Benzoesäure, Benzoat
Fluorid</t>
        </r>
      </text>
    </comment>
    <comment ref="I1923" authorId="0">
      <text>
        <r>
          <rPr>
            <b/>
            <sz val="16"/>
            <color indexed="10"/>
            <rFont val="Tahoma"/>
            <family val="2"/>
          </rPr>
          <t>ZUCKER</t>
        </r>
      </text>
    </comment>
    <comment ref="I2508" authorId="0">
      <text>
        <r>
          <rPr>
            <b/>
            <sz val="20"/>
            <rFont val="Tahoma"/>
            <family val="2"/>
          </rPr>
          <t>TOT</t>
        </r>
      </text>
    </comment>
    <comment ref="I895" authorId="4">
      <text>
        <r>
          <rPr>
            <b/>
            <sz val="12"/>
            <rFont val="Tahoma"/>
            <family val="2"/>
          </rPr>
          <t>KE,  W, Salz.</t>
        </r>
      </text>
    </comment>
    <comment ref="I634" authorId="2">
      <text>
        <r>
          <rPr>
            <b/>
            <sz val="12"/>
            <rFont val="Tahoma"/>
            <family val="2"/>
          </rPr>
          <t>Kraut, Salz, KALIUMSORBAT</t>
        </r>
      </text>
    </comment>
    <comment ref="I894" authorId="4">
      <text>
        <r>
          <rPr>
            <b/>
            <sz val="12"/>
            <rFont val="Tahoma"/>
            <family val="2"/>
          </rPr>
          <t>KE,  W, Salz.</t>
        </r>
      </text>
    </comment>
    <comment ref="I893" authorId="4">
      <text>
        <r>
          <rPr>
            <b/>
            <sz val="12"/>
            <rFont val="Tahoma"/>
            <family val="2"/>
          </rPr>
          <t>KE,  W, Salz.</t>
        </r>
      </text>
    </comment>
    <comment ref="I2181" authorId="2">
      <text>
        <r>
          <rPr>
            <b/>
            <sz val="10"/>
            <rFont val="Tahoma"/>
            <family val="2"/>
          </rPr>
          <t xml:space="preserve">Zitronensaft
Milchsäure
</t>
        </r>
      </text>
    </comment>
    <comment ref="I1045" authorId="0">
      <text>
        <r>
          <rPr>
            <b/>
            <sz val="10"/>
            <rFont val="Tahoma"/>
            <family val="2"/>
          </rPr>
          <t>…SoBluÖL+OÖl</t>
        </r>
      </text>
    </comment>
    <comment ref="I2845" authorId="2">
      <text>
        <r>
          <rPr>
            <b/>
            <sz val="10"/>
            <rFont val="Tahoma"/>
            <family val="2"/>
          </rPr>
          <t>Alkohol,
Thymol,
Benzoesäure, Benzoat
Fluorid</t>
        </r>
      </text>
    </comment>
    <comment ref="I937" authorId="4">
      <text>
        <r>
          <rPr>
            <b/>
            <sz val="12"/>
            <rFont val="Tahoma"/>
            <family val="2"/>
          </rPr>
          <t>Bohnen, W, Salz.</t>
        </r>
      </text>
    </comment>
    <comment ref="I1709" authorId="0">
      <text>
        <r>
          <rPr>
            <b/>
            <sz val="8"/>
            <rFont val="Tahoma"/>
            <family val="2"/>
          </rPr>
          <t>wird nicht geliefert</t>
        </r>
      </text>
    </comment>
    <comment ref="I923" authorId="4">
      <text>
        <r>
          <rPr>
            <b/>
            <sz val="8"/>
            <rFont val="Tahoma"/>
            <family val="2"/>
          </rPr>
          <t>Bohnen + Wasser + 0</t>
        </r>
      </text>
    </comment>
    <comment ref="I891" authorId="4">
      <text>
        <r>
          <rPr>
            <b/>
            <sz val="8"/>
            <rFont val="Tahoma"/>
            <family val="2"/>
          </rPr>
          <t>Bohnen + Wasser + 0</t>
        </r>
      </text>
    </comment>
    <comment ref="I2282" authorId="0">
      <text>
        <r>
          <rPr>
            <b/>
            <sz val="14"/>
            <rFont val="Tahoma"/>
            <family val="2"/>
          </rPr>
          <t>VK-frei ab 50,-</t>
        </r>
      </text>
    </comment>
    <comment ref="I2283" authorId="0">
      <text>
        <r>
          <rPr>
            <b/>
            <sz val="14"/>
            <rFont val="Tahoma"/>
            <family val="2"/>
          </rPr>
          <t>VK-frei ab 50,-</t>
        </r>
      </text>
    </comment>
    <comment ref="I867" authorId="2">
      <text>
        <r>
          <rPr>
            <b/>
            <sz val="12"/>
            <color indexed="12"/>
            <rFont val="Tahoma"/>
            <family val="2"/>
          </rPr>
          <t>EDTA</t>
        </r>
      </text>
    </comment>
    <comment ref="I2210" authorId="2">
      <text>
        <r>
          <rPr>
            <b/>
            <sz val="12"/>
            <rFont val="Tahoma"/>
            <family val="2"/>
          </rPr>
          <t>Zucker- und E-Stoff-frei</t>
        </r>
      </text>
    </comment>
    <comment ref="I848" authorId="2">
      <text>
        <r>
          <rPr>
            <b/>
            <sz val="8"/>
            <rFont val="Tahoma"/>
            <family val="2"/>
          </rPr>
          <t>Fisolen, Wasser, Salz</t>
        </r>
      </text>
    </comment>
    <comment ref="I2853" authorId="2">
      <text>
        <r>
          <rPr>
            <b/>
            <sz val="10"/>
            <rFont val="Tahoma"/>
            <family val="2"/>
          </rPr>
          <t>Alkohol,
Thymol,
Benzoesäure, Benzoat
Fluorid</t>
        </r>
      </text>
    </comment>
    <comment ref="I2061" authorId="0">
      <text>
        <r>
          <rPr>
            <b/>
            <sz val="10"/>
            <color indexed="14"/>
            <rFont val="Tahoma"/>
            <family val="2"/>
          </rPr>
          <t>SO2
E150d=ZuckerCol.</t>
        </r>
      </text>
    </comment>
    <comment ref="I1933" authorId="0">
      <text>
        <r>
          <rPr>
            <b/>
            <sz val="8"/>
            <rFont val="Tahoma"/>
            <family val="2"/>
          </rPr>
          <t>Tomaten, Salz</t>
        </r>
      </text>
    </comment>
    <comment ref="I1331" authorId="0">
      <text>
        <r>
          <rPr>
            <b/>
            <sz val="8"/>
            <rFont val="Tahoma"/>
            <family val="2"/>
          </rPr>
          <t>kleinwürfelig</t>
        </r>
      </text>
    </comment>
    <comment ref="I3118" authorId="0">
      <text>
        <r>
          <rPr>
            <b/>
            <sz val="8"/>
            <rFont val="Tahoma"/>
            <family val="2"/>
          </rPr>
          <t>klein, dünn</t>
        </r>
      </text>
    </comment>
    <comment ref="J3117" authorId="0">
      <text>
        <r>
          <rPr>
            <b/>
            <sz val="8"/>
            <rFont val="Tahoma"/>
            <family val="2"/>
          </rPr>
          <t>leichter aber voluminöser als die viva</t>
        </r>
        <r>
          <rPr>
            <sz val="8"/>
            <rFont val="Tahoma"/>
            <family val="2"/>
          </rPr>
          <t xml:space="preserve">
</t>
        </r>
      </text>
    </comment>
    <comment ref="I1762" authorId="0">
      <text>
        <r>
          <rPr>
            <b/>
            <sz val="8"/>
            <rFont val="Tahoma"/>
            <family val="2"/>
          </rPr>
          <t>teilentfettet</t>
        </r>
      </text>
    </comment>
    <comment ref="I380" authorId="0">
      <text>
        <r>
          <rPr>
            <b/>
            <sz val="12"/>
            <rFont val="Tahoma"/>
            <family val="2"/>
          </rPr>
          <t>nicht lieferbar</t>
        </r>
      </text>
    </comment>
    <comment ref="N653" authorId="0">
      <text>
        <r>
          <rPr>
            <b/>
            <sz val="8"/>
            <rFont val="Tahoma"/>
            <family val="2"/>
          </rPr>
          <t>bzw. jetzt NUR NOCH TEURER</t>
        </r>
      </text>
    </comment>
    <comment ref="D651" authorId="0">
      <text>
        <r>
          <rPr>
            <b/>
            <sz val="12"/>
            <rFont val="Tahoma"/>
            <family val="2"/>
          </rPr>
          <t>WENIGER FETT!</t>
        </r>
      </text>
    </comment>
    <comment ref="I2101" authorId="2">
      <text>
        <r>
          <rPr>
            <b/>
            <sz val="8"/>
            <rFont val="Tahoma"/>
            <family val="2"/>
          </rPr>
          <t>kalorienreduziert nur verglichen gegen alkoholhältiges</t>
        </r>
        <r>
          <rPr>
            <sz val="8"/>
            <rFont val="Tahoma"/>
            <family val="2"/>
          </rPr>
          <t xml:space="preserve">
</t>
        </r>
      </text>
    </comment>
    <comment ref="I2193" authorId="2">
      <text>
        <r>
          <rPr>
            <b/>
            <sz val="12"/>
            <rFont val="Tahoma"/>
            <family val="2"/>
          </rPr>
          <t>Zucker- und E-Stoff-frei</t>
        </r>
      </text>
    </comment>
    <comment ref="I2192" authorId="2">
      <text>
        <r>
          <rPr>
            <b/>
            <sz val="12"/>
            <rFont val="Tahoma"/>
            <family val="2"/>
          </rPr>
          <t>Zucker- und E-Stoff-frei</t>
        </r>
      </text>
    </comment>
    <comment ref="I2842" authorId="2">
      <text>
        <r>
          <rPr>
            <b/>
            <sz val="10"/>
            <rFont val="Tahoma"/>
            <family val="2"/>
          </rPr>
          <t>Propylenglykol
Eugenol
Benzoat
Fluorid</t>
        </r>
      </text>
    </comment>
    <comment ref="I1033" authorId="0">
      <text>
        <r>
          <rPr>
            <b/>
            <sz val="10"/>
            <rFont val="Tahoma"/>
            <family val="2"/>
          </rPr>
          <t>…SoBluÖL+OÖl</t>
        </r>
      </text>
    </comment>
    <comment ref="I1034" authorId="0">
      <text>
        <r>
          <rPr>
            <b/>
            <sz val="10"/>
            <rFont val="Tahoma"/>
            <family val="2"/>
          </rPr>
          <t>…SoBluÖL</t>
        </r>
      </text>
    </comment>
    <comment ref="I926" authorId="4">
      <text>
        <r>
          <rPr>
            <b/>
            <sz val="8"/>
            <rFont val="Tahoma"/>
            <family val="2"/>
          </rPr>
          <t>Bohnen + Wasser + 0</t>
        </r>
      </text>
    </comment>
    <comment ref="I850" authorId="2">
      <text>
        <r>
          <rPr>
            <b/>
            <sz val="8"/>
            <rFont val="Tahoma"/>
            <family val="2"/>
          </rPr>
          <t>Fisolen, Wasser, Salz</t>
        </r>
      </text>
    </comment>
    <comment ref="I1546" authorId="0">
      <text>
        <r>
          <rPr>
            <b/>
            <sz val="10"/>
            <rFont val="Tahoma"/>
            <family val="2"/>
          </rPr>
          <t>mehr Fett, 
KEIN ZUCKER</t>
        </r>
      </text>
    </comment>
    <comment ref="I2841" authorId="2">
      <text>
        <r>
          <rPr>
            <b/>
            <sz val="10"/>
            <rFont val="Tahoma"/>
            <family val="2"/>
          </rPr>
          <t>Propylenglykol
Eugenol
Benzoat
Fluorid</t>
        </r>
      </text>
    </comment>
    <comment ref="I651" authorId="0">
      <text>
        <r>
          <rPr>
            <b/>
            <sz val="8"/>
            <rFont val="Tahoma"/>
            <family val="2"/>
          </rPr>
          <t>zu wenig geröstet</t>
        </r>
        <r>
          <rPr>
            <sz val="8"/>
            <rFont val="Tahoma"/>
            <family val="2"/>
          </rPr>
          <t xml:space="preserve">
</t>
        </r>
      </text>
    </comment>
    <comment ref="I2060" authorId="0">
      <text>
        <r>
          <rPr>
            <b/>
            <sz val="10"/>
            <color indexed="14"/>
            <rFont val="Tahoma"/>
            <family val="2"/>
          </rPr>
          <t>SO2
E150d=ZuckerCol.</t>
        </r>
      </text>
    </comment>
    <comment ref="I657" authorId="4">
      <text>
        <r>
          <rPr>
            <b/>
            <sz val="8"/>
            <rFont val="Tahoma"/>
            <family val="2"/>
          </rPr>
          <t>Zwiebel, Palm-Öl, Weizenmehl, Salz</t>
        </r>
      </text>
    </comment>
    <comment ref="I658" authorId="4">
      <text>
        <r>
          <rPr>
            <b/>
            <sz val="8"/>
            <rFont val="Tahoma"/>
            <family val="2"/>
          </rPr>
          <t>Zwiebel, Palm-Öl, Weizenmehl, Salz</t>
        </r>
      </text>
    </comment>
    <comment ref="I1328" authorId="0">
      <text>
        <r>
          <rPr>
            <b/>
            <sz val="12"/>
            <rFont val="Tahoma"/>
            <family val="2"/>
          </rPr>
          <t>etwas fester/
sympatischer (?)</t>
        </r>
      </text>
    </comment>
    <comment ref="I2059" authorId="0">
      <text>
        <r>
          <rPr>
            <b/>
            <sz val="10"/>
            <color indexed="14"/>
            <rFont val="Tahoma"/>
            <family val="2"/>
          </rPr>
          <t xml:space="preserve">SO2
</t>
        </r>
      </text>
    </comment>
    <comment ref="I102" authorId="2">
      <text>
        <r>
          <rPr>
            <b/>
            <sz val="10"/>
            <rFont val="Tahoma"/>
            <family val="2"/>
          </rPr>
          <t xml:space="preserve">99.9% Zitr.saft
+K-metabisulfit
</t>
        </r>
        <r>
          <rPr>
            <b/>
            <sz val="10"/>
            <color indexed="12"/>
            <rFont val="Tahoma"/>
            <family val="2"/>
          </rPr>
          <t>PLASTIKetikett</t>
        </r>
      </text>
    </comment>
    <comment ref="I1932" authorId="0">
      <text>
        <r>
          <rPr>
            <b/>
            <sz val="8"/>
            <rFont val="Tahoma"/>
            <family val="2"/>
          </rPr>
          <t>Tomaten, Salz</t>
        </r>
      </text>
    </comment>
    <comment ref="I1931" authorId="0">
      <text>
        <r>
          <rPr>
            <b/>
            <sz val="8"/>
            <rFont val="Tahoma"/>
            <family val="2"/>
          </rPr>
          <t>Tomaten, Salz</t>
        </r>
      </text>
    </comment>
    <comment ref="I2100" authorId="2">
      <text>
        <r>
          <rPr>
            <b/>
            <sz val="8"/>
            <rFont val="Tahoma"/>
            <family val="2"/>
          </rPr>
          <t>kalorienreduziert nur verglichen gegen alkoholhältiges</t>
        </r>
        <r>
          <rPr>
            <sz val="8"/>
            <rFont val="Tahoma"/>
            <family val="2"/>
          </rPr>
          <t xml:space="preserve">
</t>
        </r>
      </text>
    </comment>
    <comment ref="I925" authorId="4">
      <text>
        <r>
          <rPr>
            <b/>
            <sz val="8"/>
            <rFont val="Tahoma"/>
            <family val="2"/>
          </rPr>
          <t>Bohnen + Wasser + 0</t>
        </r>
      </text>
    </comment>
    <comment ref="I939" authorId="4">
      <text>
        <r>
          <rPr>
            <b/>
            <sz val="8"/>
            <rFont val="Tahoma"/>
            <family val="2"/>
          </rPr>
          <t>Bohnen + Wasser + 0</t>
        </r>
      </text>
    </comment>
    <comment ref="I1543" authorId="0">
      <text>
        <r>
          <rPr>
            <b/>
            <sz val="10"/>
            <rFont val="Tahoma"/>
            <family val="2"/>
          </rPr>
          <t xml:space="preserve"> </t>
        </r>
        <r>
          <rPr>
            <b/>
            <sz val="10"/>
            <color indexed="10"/>
            <rFont val="Tahoma"/>
            <family val="2"/>
          </rPr>
          <t>ZUCKER</t>
        </r>
      </text>
    </comment>
    <comment ref="I905" authorId="4">
      <text>
        <r>
          <rPr>
            <b/>
            <sz val="12"/>
            <color indexed="57"/>
            <rFont val="Tahoma"/>
            <family val="2"/>
          </rPr>
          <t>KicherKichererbsen + Wasser + 0</t>
        </r>
      </text>
    </comment>
    <comment ref="I924" authorId="4">
      <text>
        <r>
          <rPr>
            <b/>
            <sz val="8"/>
            <rFont val="Tahoma"/>
            <family val="2"/>
          </rPr>
          <t>Bohnen + Wasser + 0</t>
        </r>
      </text>
    </comment>
    <comment ref="I904" authorId="4">
      <text>
        <r>
          <rPr>
            <b/>
            <sz val="12"/>
            <color indexed="57"/>
            <rFont val="Tahoma"/>
            <family val="2"/>
          </rPr>
          <t>KicherKichererbsen + Wasser + 0</t>
        </r>
      </text>
    </comment>
    <comment ref="I101" authorId="2">
      <text>
        <r>
          <rPr>
            <b/>
            <sz val="10"/>
            <rFont val="Tahoma"/>
            <family val="2"/>
          </rPr>
          <t xml:space="preserve">99.9% Zitr.saft
+K-metabisulfit
</t>
        </r>
        <r>
          <rPr>
            <b/>
            <sz val="10"/>
            <color indexed="12"/>
            <rFont val="Tahoma"/>
            <family val="2"/>
          </rPr>
          <t>PLASTIKetikett</t>
        </r>
      </text>
    </comment>
    <comment ref="I2177" authorId="2">
      <text>
        <r>
          <rPr>
            <b/>
            <sz val="12"/>
            <rFont val="Tahoma"/>
            <family val="2"/>
          </rPr>
          <t>Zucker- und E-Stoff-frei</t>
        </r>
      </text>
    </comment>
    <comment ref="I920" authorId="4">
      <text>
        <r>
          <rPr>
            <b/>
            <sz val="8"/>
            <rFont val="Tahoma"/>
            <family val="2"/>
          </rPr>
          <t>Bohnen + Wasser + Salz</t>
        </r>
      </text>
    </comment>
    <comment ref="I936" authorId="4">
      <text>
        <r>
          <rPr>
            <b/>
            <sz val="8"/>
            <rFont val="Tahoma"/>
            <family val="2"/>
          </rPr>
          <t>Bohnen + Wasser + Salz</t>
        </r>
      </text>
    </comment>
    <comment ref="I2176" authorId="2">
      <text>
        <r>
          <rPr>
            <b/>
            <sz val="12"/>
            <rFont val="Tahoma"/>
            <family val="2"/>
          </rPr>
          <t>Zucker- und E-Stoff-frei</t>
        </r>
      </text>
    </comment>
    <comment ref="I889" authorId="4">
      <text>
        <r>
          <rPr>
            <b/>
            <sz val="8"/>
            <rFont val="Tahoma"/>
            <family val="2"/>
          </rPr>
          <t>Bohnen + Wasser + 0</t>
        </r>
      </text>
    </comment>
    <comment ref="I892" authorId="4">
      <text>
        <r>
          <rPr>
            <b/>
            <sz val="12"/>
            <rFont val="Tahoma"/>
            <family val="2"/>
          </rPr>
          <t>KE,  W, Salz.</t>
        </r>
      </text>
    </comment>
    <comment ref="I890" authorId="4">
      <text>
        <r>
          <rPr>
            <b/>
            <sz val="8"/>
            <rFont val="Tahoma"/>
            <family val="2"/>
          </rPr>
          <t>Bohnen + Wasser + 0</t>
        </r>
      </text>
    </comment>
    <comment ref="I849" authorId="2">
      <text>
        <r>
          <rPr>
            <b/>
            <sz val="8"/>
            <rFont val="Tahoma"/>
            <family val="2"/>
          </rPr>
          <t>Fisolen, Wasser, Salz</t>
        </r>
      </text>
    </comment>
  </commentList>
</comments>
</file>

<file path=xl/sharedStrings.xml><?xml version="1.0" encoding="utf-8"?>
<sst xmlns="http://schemas.openxmlformats.org/spreadsheetml/2006/main" count="6304" uniqueCount="3198">
  <si>
    <r>
      <t>*-</t>
    </r>
    <r>
      <rPr>
        <sz val="10"/>
        <color indexed="10"/>
        <rFont val="Arial"/>
        <family val="2"/>
      </rPr>
      <t xml:space="preserve"> d  Taifun Tofritto Cashew/Olive</t>
    </r>
  </si>
  <si>
    <t>*** hofer NaturAktiv bio-Datteln m.K. 200g</t>
  </si>
  <si>
    <t>BB Sonnentor PFEFFER schwarz ganz aus INDON.</t>
  </si>
  <si>
    <r>
      <t xml:space="preserve">ILM </t>
    </r>
    <r>
      <rPr>
        <i/>
        <sz val="12"/>
        <color indexed="12"/>
        <rFont val="Arial"/>
        <family val="2"/>
      </rPr>
      <t>(sc3, EG16)</t>
    </r>
  </si>
  <si>
    <t>BB  Lima</t>
  </si>
  <si>
    <t xml:space="preserve"> BB  Austernseitling Pleurotus  D</t>
  </si>
  <si>
    <t>MHS18  Platinum</t>
  </si>
  <si>
    <t>(-) T Hiel Weizenfilet kbA</t>
  </si>
  <si>
    <t>WALNUSSKERNE</t>
  </si>
  <si>
    <t>m.asia  Schani PUNJABI SARSON KA SAAG Senfblattgemüse (IND)</t>
  </si>
  <si>
    <t>2014-02</t>
  </si>
  <si>
    <t>VKBVKB</t>
  </si>
  <si>
    <t>2009-08</t>
  </si>
  <si>
    <t>BRU</t>
  </si>
  <si>
    <t>BB  ShiiTake  D</t>
  </si>
  <si>
    <t>ZP Null Komma Josef  fl</t>
  </si>
  <si>
    <t>Billa   Clausthaler  fl</t>
  </si>
  <si>
    <t>Etsan [Korn]Baguette klein</t>
  </si>
  <si>
    <t>2017-09</t>
  </si>
  <si>
    <t>B JaN Kornspitz</t>
  </si>
  <si>
    <t>m.asia   TP    CASSIA flower  (THAI)</t>
  </si>
  <si>
    <t>kkkkuchen</t>
  </si>
  <si>
    <t>***  hofer ZZU Weizenlandler  Ö</t>
  </si>
  <si>
    <t>Zwiebel</t>
  </si>
  <si>
    <t>ho ZZU blau</t>
  </si>
  <si>
    <t>** T Hiel Weizensteak</t>
  </si>
  <si>
    <t>** ##T Hiel Weizensteak</t>
  </si>
  <si>
    <t>##T  Vollkraft  hell  Türk</t>
  </si>
  <si>
    <t>PM  OLYMP griechische Grüne m.K.  360ml Glas ~ok</t>
  </si>
  <si>
    <t>***  ho PureFruit Apfelsaft aus Konzenztrat</t>
  </si>
  <si>
    <t xml:space="preserve">B13  reinweinsteinbackpulver    </t>
  </si>
  <si>
    <t>KA</t>
  </si>
  <si>
    <t>UniversalVersand</t>
  </si>
  <si>
    <t>Q</t>
  </si>
  <si>
    <t>Nie</t>
  </si>
  <si>
    <t>2005-05</t>
  </si>
  <si>
    <t>2012-02</t>
  </si>
  <si>
    <t>##T Vollkraft Walnusskerne kbA</t>
  </si>
  <si>
    <t>BB  Schale &lt; 200g Brutto</t>
  </si>
  <si>
    <t>(ASIA) DOSEN, früchte</t>
  </si>
  <si>
    <r>
      <t xml:space="preserve">TTOASTT     </t>
    </r>
    <r>
      <rPr>
        <b/>
        <sz val="12"/>
        <rFont val="Arial"/>
        <family val="2"/>
      </rPr>
      <t>TOASTBROT</t>
    </r>
  </si>
  <si>
    <t>aktion: statt 1,95</t>
  </si>
  <si>
    <t>***  m.asia HEM.*</t>
  </si>
  <si>
    <t>2023-04</t>
  </si>
  <si>
    <t>(****)  BB    Rapunzel</t>
  </si>
  <si>
    <t>ReisMalz</t>
  </si>
  <si>
    <t>/Stk</t>
  </si>
  <si>
    <t>B, bi</t>
  </si>
  <si>
    <t>Billa</t>
  </si>
  <si>
    <t>Dijon Senf</t>
  </si>
  <si>
    <t>GLÜHBIRNEN E27</t>
  </si>
  <si>
    <t>YUKKK</t>
  </si>
  <si>
    <t>Mono-und Di-glycerid-Ester</t>
  </si>
  <si>
    <r>
      <t>billa</t>
    </r>
    <r>
      <rPr>
        <sz val="10"/>
        <color indexed="12"/>
        <rFont val="Arial"/>
        <family val="2"/>
      </rPr>
      <t xml:space="preserve"> </t>
    </r>
    <r>
      <rPr>
        <sz val="10"/>
        <color indexed="14"/>
        <rFont val="Arial"/>
        <family val="2"/>
      </rPr>
      <t>mio</t>
    </r>
    <r>
      <rPr>
        <sz val="10"/>
        <color indexed="12"/>
        <rFont val="Arial"/>
        <family val="2"/>
      </rPr>
      <t xml:space="preserve">  SOJA vegan  6x(100ml=64g)</t>
    </r>
  </si>
  <si>
    <t>BB Musa HATCHO MISO</t>
  </si>
  <si>
    <t>lidl ... Kümmel ganz (glas)</t>
  </si>
  <si>
    <t>CITRUSFRÜCHTE: Orangen, Mandarinen</t>
  </si>
  <si>
    <t>spar NaturPur Regio BioEspresso(ganz) Arabica Fairtrade</t>
  </si>
  <si>
    <t>BB   ab</t>
  </si>
  <si>
    <t>Anmerkung</t>
  </si>
  <si>
    <r>
      <t xml:space="preserve">##T  Birkengold Zartbitter </t>
    </r>
    <r>
      <rPr>
        <b/>
        <i/>
        <sz val="11"/>
        <color indexed="55"/>
        <rFont val="Arial"/>
        <family val="2"/>
      </rPr>
      <t>zuckerfrei</t>
    </r>
    <r>
      <rPr>
        <b/>
        <sz val="10"/>
        <color indexed="55"/>
        <rFont val="Arial"/>
        <family val="2"/>
      </rPr>
      <t xml:space="preserve"> Xylit FT  </t>
    </r>
    <r>
      <rPr>
        <b/>
        <sz val="12"/>
        <color indexed="55"/>
        <rFont val="Arial"/>
        <family val="2"/>
      </rPr>
      <t>55%</t>
    </r>
  </si>
  <si>
    <t>BB TomatenStücke (m.Basil)  It</t>
  </si>
  <si>
    <t>2020-04</t>
  </si>
  <si>
    <t>lidl Erntepracht  Krustenbrot geschnitten</t>
  </si>
  <si>
    <t>lidl Erntepracht  Körndelbrot geschnitten</t>
  </si>
  <si>
    <t>###T VollKraft SojaWürfel  kbA</t>
  </si>
  <si>
    <r>
      <t xml:space="preserve">BB  DeRit   </t>
    </r>
    <r>
      <rPr>
        <b/>
        <i/>
        <sz val="11"/>
        <rFont val="Arial"/>
        <family val="2"/>
      </rPr>
      <t>demeter</t>
    </r>
    <r>
      <rPr>
        <sz val="10"/>
        <rFont val="Arial"/>
        <family val="2"/>
      </rPr>
      <t xml:space="preserve">  Weisse Bohnen 350g Glas</t>
    </r>
  </si>
  <si>
    <r>
      <t xml:space="preserve">sowü  </t>
    </r>
    <r>
      <rPr>
        <b/>
        <sz val="12"/>
        <rFont val="Arial"/>
        <family val="2"/>
      </rPr>
      <t>SOJASCHNETZEL/SOJAWÜRFEL</t>
    </r>
  </si>
  <si>
    <t>##T  N&amp;R  hell  ???</t>
  </si>
  <si>
    <t>Asia-2    NOPPAMAS  Thai  Jasmin|Rose</t>
  </si>
  <si>
    <r>
      <t>XXX</t>
    </r>
    <r>
      <rPr>
        <b/>
        <sz val="10"/>
        <color indexed="10"/>
        <rFont val="Arial"/>
        <family val="2"/>
      </rPr>
      <t xml:space="preserve">   SPAR  TKKräuter</t>
    </r>
  </si>
  <si>
    <r>
      <t xml:space="preserve">m.asia  STI  geröstete </t>
    </r>
    <r>
      <rPr>
        <sz val="10"/>
        <color indexed="14"/>
        <rFont val="Arial"/>
        <family val="2"/>
      </rPr>
      <t>MAISkörner</t>
    </r>
    <r>
      <rPr>
        <sz val="10"/>
        <color indexed="12"/>
        <rFont val="Arial"/>
        <family val="2"/>
      </rPr>
      <t xml:space="preserve">  </t>
    </r>
  </si>
  <si>
    <r>
      <t xml:space="preserve">B  STI  geröstete </t>
    </r>
    <r>
      <rPr>
        <sz val="10"/>
        <color indexed="14"/>
        <rFont val="Arial"/>
        <family val="2"/>
      </rPr>
      <t>MAISkörner</t>
    </r>
    <r>
      <rPr>
        <sz val="10"/>
        <color indexed="12"/>
        <rFont val="Arial"/>
        <family val="2"/>
      </rPr>
      <t xml:space="preserve">  </t>
    </r>
  </si>
  <si>
    <t>EG1</t>
  </si>
  <si>
    <t>***  BB  Alsan Palm&gt;SoBlu (80%F)</t>
  </si>
  <si>
    <t>***  #denns dennree   "mild"</t>
  </si>
  <si>
    <t>#d  dennree Seitan mariniert It</t>
  </si>
  <si>
    <t>B SAHNEKAPSELN</t>
  </si>
  <si>
    <r>
      <t xml:space="preserve">hofer naturaktiv  </t>
    </r>
    <r>
      <rPr>
        <b/>
        <sz val="10"/>
        <color indexed="14"/>
        <rFont val="Arial"/>
        <family val="2"/>
      </rPr>
      <t>Weizen</t>
    </r>
    <r>
      <rPr>
        <b/>
        <sz val="10"/>
        <color indexed="8"/>
        <rFont val="Arial"/>
        <family val="2"/>
      </rPr>
      <t>-T bio genfrei D</t>
    </r>
  </si>
  <si>
    <t>mischung.. aus Nicht-Eu-ländern</t>
  </si>
  <si>
    <r>
      <t xml:space="preserve">XXXXX   </t>
    </r>
    <r>
      <rPr>
        <sz val="10"/>
        <color indexed="8"/>
        <rFont val="Arial"/>
        <family val="2"/>
      </rPr>
      <t>ho NaturAktiv Langkorn ?parboiled  ?It</t>
    </r>
  </si>
  <si>
    <r>
      <t xml:space="preserve">B13 Spielberger </t>
    </r>
    <r>
      <rPr>
        <i/>
        <sz val="11"/>
        <color indexed="16"/>
        <rFont val="Arial"/>
        <family val="2"/>
      </rPr>
      <t>demeter</t>
    </r>
    <r>
      <rPr>
        <sz val="10"/>
        <color indexed="16"/>
        <rFont val="Arial"/>
        <family val="2"/>
      </rPr>
      <t xml:space="preserve"> D</t>
    </r>
  </si>
  <si>
    <t xml:space="preserve">B13 Raunzel </t>
  </si>
  <si>
    <t>1 Pkg.</t>
  </si>
  <si>
    <t>2008-08</t>
  </si>
  <si>
    <t>ALGEN</t>
  </si>
  <si>
    <t>##T VollKraft MAJORAN  Peru/Ägypten</t>
  </si>
  <si>
    <t>##T  sonnentor BOHNENKRAUT D</t>
  </si>
  <si>
    <r>
      <t xml:space="preserve">***   Asia-2 MSDF </t>
    </r>
    <r>
      <rPr>
        <b/>
        <sz val="10"/>
        <color indexed="10"/>
        <rFont val="Arial"/>
        <family val="2"/>
      </rPr>
      <t>NIGHTQUEEN</t>
    </r>
    <r>
      <rPr>
        <b/>
        <sz val="10"/>
        <color indexed="22"/>
        <rFont val="Arial"/>
        <family val="2"/>
      </rPr>
      <t xml:space="preserve">  20g</t>
    </r>
  </si>
  <si>
    <r>
      <t xml:space="preserve">**  billa  </t>
    </r>
    <r>
      <rPr>
        <sz val="10"/>
        <color indexed="45"/>
        <rFont val="Arial"/>
        <family val="2"/>
      </rPr>
      <t>VegaVita</t>
    </r>
    <r>
      <rPr>
        <sz val="10"/>
        <color indexed="55"/>
        <rFont val="Arial"/>
        <family val="2"/>
      </rPr>
      <t xml:space="preserve">  Heurigenaufstrich</t>
    </r>
  </si>
  <si>
    <t>hofer  KarlsKrone    dose</t>
  </si>
  <si>
    <t>dm alnatura VK-Salzbrezeln</t>
  </si>
  <si>
    <t>2008-04</t>
  </si>
  <si>
    <t>BB tarpa    edelsüß</t>
  </si>
  <si>
    <t>B13 SoWiesWächstBiohofKetler Vollkorn</t>
  </si>
  <si>
    <t>lidl Krustenlaib</t>
  </si>
  <si>
    <r>
      <t>XXX</t>
    </r>
    <r>
      <rPr>
        <b/>
        <sz val="10"/>
        <color indexed="10"/>
        <rFont val="Arial"/>
        <family val="2"/>
      </rPr>
      <t xml:space="preserve">   B  JaN TKKräuter</t>
    </r>
  </si>
  <si>
    <t>denns Taifun PUSZTA/TOFU-WIENER</t>
  </si>
  <si>
    <t>***  hofer ZZU Weizenlandler Vortag  Ö</t>
  </si>
  <si>
    <t>Schlecker, Billa,  FROSCH, P</t>
  </si>
  <si>
    <t>lidl Crownfield zart</t>
  </si>
  <si>
    <t>PM bio</t>
  </si>
  <si>
    <r>
      <t xml:space="preserve"> </t>
    </r>
    <r>
      <rPr>
        <b/>
        <sz val="12"/>
        <rFont val="Arial"/>
        <family val="2"/>
      </rPr>
      <t>BB  Sonnentor ANIS ganz Ö</t>
    </r>
  </si>
  <si>
    <t>***   T  Sonnentor Früchtetraum</t>
  </si>
  <si>
    <t>**   BB  Lebensbaum Früchtetee</t>
  </si>
  <si>
    <t>ho  NaturAktiv    0.2%Salz  It</t>
  </si>
  <si>
    <t>KP1</t>
  </si>
  <si>
    <t>Coffein-Gehalt</t>
  </si>
  <si>
    <t xml:space="preserve">   </t>
  </si>
  <si>
    <t>Coffein-Preis</t>
  </si>
  <si>
    <r>
      <t>ho  ZZU klein|</t>
    </r>
    <r>
      <rPr>
        <b/>
        <sz val="10"/>
        <color indexed="55"/>
        <rFont val="Arial"/>
        <family val="2"/>
      </rPr>
      <t>groß Ö</t>
    </r>
  </si>
  <si>
    <r>
      <t>billa</t>
    </r>
    <r>
      <rPr>
        <sz val="10"/>
        <rFont val="Arial"/>
        <family val="0"/>
      </rPr>
      <t xml:space="preserve"> </t>
    </r>
    <r>
      <rPr>
        <sz val="10"/>
        <color indexed="14"/>
        <rFont val="Arial"/>
        <family val="2"/>
      </rPr>
      <t>JaN</t>
    </r>
    <r>
      <rPr>
        <sz val="10"/>
        <rFont val="Arial"/>
        <family val="0"/>
      </rPr>
      <t xml:space="preserve"> Schoko  350g</t>
    </r>
  </si>
  <si>
    <t>EG15   andere</t>
  </si>
  <si>
    <t>BB  ?? Rap</t>
  </si>
  <si>
    <t xml:space="preserve"> "8 kg" (?)</t>
  </si>
  <si>
    <t>5l</t>
  </si>
  <si>
    <t xml:space="preserve">2656g </t>
  </si>
  <si>
    <t>***  spar  NaturPur bio-Trauben-Mix kernlos It</t>
  </si>
  <si>
    <t>Pfirsiche/Nektarinen</t>
  </si>
  <si>
    <t>Az.de  MediaRange</t>
  </si>
  <si>
    <t xml:space="preserve">-  B13 Tofutti  BIO Soya (Erdbeer)  </t>
  </si>
  <si>
    <t>***  BB  viana  RealSmoked tofu  D</t>
  </si>
  <si>
    <r>
      <t xml:space="preserve">Lidl Freshona </t>
    </r>
    <r>
      <rPr>
        <b/>
        <sz val="10"/>
        <color indexed="12"/>
        <rFont val="Arial"/>
        <family val="2"/>
      </rPr>
      <t>"dreifach"</t>
    </r>
    <r>
      <rPr>
        <sz val="10"/>
        <color indexed="12"/>
        <rFont val="Arial"/>
        <family val="2"/>
      </rPr>
      <t xml:space="preserve"> Tube  It</t>
    </r>
  </si>
  <si>
    <r>
      <t xml:space="preserve">PM SanFabio </t>
    </r>
    <r>
      <rPr>
        <b/>
        <sz val="10"/>
        <color indexed="12"/>
        <rFont val="Arial"/>
        <family val="2"/>
      </rPr>
      <t>"dreifach"</t>
    </r>
    <r>
      <rPr>
        <sz val="10"/>
        <color indexed="12"/>
        <rFont val="Arial"/>
        <family val="2"/>
      </rPr>
      <t xml:space="preserve"> (36%) Tube  It</t>
    </r>
  </si>
  <si>
    <t>2019-12</t>
  </si>
  <si>
    <t xml:space="preserve">BB  Schale </t>
  </si>
  <si>
    <t>NM,  YMC  CL-41</t>
  </si>
  <si>
    <t>BB Rapunzel</t>
  </si>
  <si>
    <t xml:space="preserve"> *** B JaN  gemischt 370mlGlas</t>
  </si>
  <si>
    <t xml:space="preserve">"Nährwert" </t>
  </si>
  <si>
    <t>... J/g</t>
  </si>
  <si>
    <t>... kcal/g</t>
  </si>
  <si>
    <t>E/(kg|l)</t>
  </si>
  <si>
    <r>
      <t xml:space="preserve">me/B JaN </t>
    </r>
    <r>
      <rPr>
        <b/>
        <sz val="10"/>
        <color indexed="8"/>
        <rFont val="Arial"/>
        <family val="2"/>
      </rPr>
      <t>ORANGENSAFT</t>
    </r>
    <r>
      <rPr>
        <sz val="10"/>
        <color indexed="8"/>
        <rFont val="Arial"/>
        <family val="2"/>
      </rPr>
      <t xml:space="preserve"> kbA naturtrüb  Tetrapack BRA</t>
    </r>
  </si>
  <si>
    <t>Penny Gemüsemais  330g Dose</t>
  </si>
  <si>
    <t>AMAZON JedenTag  340g Dose</t>
  </si>
  <si>
    <t>spar naturPur BioAufstrich Gemüse</t>
  </si>
  <si>
    <t>#hofer HappyHarvest  Champignons   400g Dose  NL</t>
  </si>
  <si>
    <t>#hofer  Früchtebrot  Ö</t>
  </si>
  <si>
    <r>
      <t xml:space="preserve">ettiketten  </t>
    </r>
    <r>
      <rPr>
        <b/>
        <sz val="12"/>
        <rFont val="Arial"/>
        <family val="2"/>
      </rPr>
      <t>ETIKETTEN</t>
    </r>
  </si>
  <si>
    <t>PAGRO</t>
  </si>
  <si>
    <t>-25</t>
  </si>
  <si>
    <t>*** hofer  Roggenbrot</t>
  </si>
  <si>
    <t>lidl  Ca+D3</t>
  </si>
  <si>
    <t>2008-11</t>
  </si>
  <si>
    <t>Ev/kg</t>
  </si>
  <si>
    <t>handyshop MeidlingerHauptstr. 18  -- Sa. Geschlossen</t>
  </si>
  <si>
    <t>#hofer zzU (manchmalauch) mehlige Ö</t>
  </si>
  <si>
    <t xml:space="preserve">  *** m.asia  bangkok "PO-KU" Shiitake  THAI</t>
  </si>
  <si>
    <t>2006-04</t>
  </si>
  <si>
    <t>Stücklberger, BLAUER PLANET flüssig</t>
  </si>
  <si>
    <t>masch.f.</t>
  </si>
  <si>
    <t>Mo-Fr 8-19   Sa 8-18</t>
  </si>
  <si>
    <t>asia-2  peacock BOCKSHORNKLEEBLÄTTER (IND)</t>
  </si>
  <si>
    <t>denns  Honigmelone Galia  ?Esp</t>
  </si>
  <si>
    <t>denns  Ö</t>
  </si>
  <si>
    <t xml:space="preserve">denns  </t>
  </si>
  <si>
    <t>2017-04</t>
  </si>
  <si>
    <t>Gewürzgurken</t>
  </si>
  <si>
    <t>BB  Marschland bio DE</t>
  </si>
  <si>
    <t>#hofer  Bio-Kürbiskern(5%)-(Roggen)-Vollkornbrot (H)</t>
  </si>
  <si>
    <t>2015-06</t>
  </si>
  <si>
    <t xml:space="preserve">B13, BB: ------- </t>
  </si>
  <si>
    <t>B13: -----</t>
  </si>
  <si>
    <t>Birlik</t>
  </si>
  <si>
    <t>***  T -SojVita Spicy Thai  -50%</t>
  </si>
  <si>
    <r>
      <t xml:space="preserve">T Vollkraft </t>
    </r>
    <r>
      <rPr>
        <b/>
        <sz val="12"/>
        <color indexed="55"/>
        <rFont val="Arial"/>
        <family val="2"/>
      </rPr>
      <t>BOCKSHORNKLEE</t>
    </r>
    <r>
      <rPr>
        <sz val="12"/>
        <color indexed="55"/>
        <rFont val="Arial"/>
        <family val="2"/>
      </rPr>
      <t xml:space="preserve"> Keimsaat kbA</t>
    </r>
  </si>
  <si>
    <t>dzt. aus</t>
  </si>
  <si>
    <r>
      <t xml:space="preserve">AMAZON-Naturix24 </t>
    </r>
    <r>
      <rPr>
        <sz val="10"/>
        <color indexed="14"/>
        <rFont val="Arial"/>
        <family val="2"/>
      </rPr>
      <t>Birnenhälften</t>
    </r>
  </si>
  <si>
    <t>AZ-Biojoy FEIGEN getr.</t>
  </si>
  <si>
    <r>
      <t>aaaa</t>
    </r>
    <r>
      <rPr>
        <b/>
        <sz val="12"/>
        <color indexed="20"/>
        <rFont val="Arial"/>
        <family val="2"/>
      </rPr>
      <t xml:space="preserve">ASS   AcetylSalicylsäue  </t>
    </r>
    <r>
      <rPr>
        <b/>
        <sz val="12"/>
        <color indexed="14"/>
        <rFont val="Arial"/>
        <family val="2"/>
      </rPr>
      <t>"ASPIRIN"</t>
    </r>
  </si>
  <si>
    <t>?aktion 3+1</t>
  </si>
  <si>
    <t>dm  bio</t>
  </si>
  <si>
    <t>2019-02</t>
  </si>
  <si>
    <t xml:space="preserve"> SPAR  Dijon  glas</t>
  </si>
  <si>
    <t>2020-11</t>
  </si>
  <si>
    <t>#EG3   recyclopapier 10x250 grau</t>
  </si>
  <si>
    <t>KKB  KAKAOBOHNEN/NIBS</t>
  </si>
  <si>
    <t>AZ/Marulo:  Tilia (naturi.me) roh</t>
  </si>
  <si>
    <r>
      <t xml:space="preserve"> </t>
    </r>
    <r>
      <rPr>
        <b/>
        <sz val="10"/>
        <color indexed="12"/>
        <rFont val="Arial"/>
        <family val="2"/>
      </rPr>
      <t>#Billa  Clever  Champignons   400g Dose  Fr</t>
    </r>
  </si>
  <si>
    <t>extrascharf.at   Maxell</t>
  </si>
  <si>
    <t>2007-05</t>
  </si>
  <si>
    <r>
      <t xml:space="preserve">ABVERKAUF </t>
    </r>
    <r>
      <rPr>
        <b/>
        <sz val="12"/>
        <rFont val="Arial"/>
        <family val="2"/>
      </rPr>
      <t>T</t>
    </r>
  </si>
  <si>
    <t>NOR NOCH BIS DEZ.</t>
  </si>
  <si>
    <t>MataAsia</t>
  </si>
  <si>
    <t>Mo-Fr8-20 + Sa 8-?18</t>
  </si>
  <si>
    <t>BB  It</t>
  </si>
  <si>
    <t>#hofer  Ö</t>
  </si>
  <si>
    <t>BRÖSEL</t>
  </si>
  <si>
    <t>hofer  Apfelstrudel  (Zucker, Kaliumsorbat aber vegan)</t>
  </si>
  <si>
    <t>#d  Naturmühle "FeelGood" Chili A</t>
  </si>
  <si>
    <t>c/MJ</t>
  </si>
  <si>
    <r>
      <t xml:space="preserve">***  BB  Taifun  </t>
    </r>
    <r>
      <rPr>
        <sz val="10"/>
        <color indexed="8"/>
        <rFont val="Arial"/>
        <family val="2"/>
      </rPr>
      <t>Bärlauch-Bratfilets</t>
    </r>
  </si>
  <si>
    <t>Niedermeyer</t>
  </si>
  <si>
    <t>Shoxx  Platinum</t>
  </si>
  <si>
    <t>Shoxx Maxell</t>
  </si>
  <si>
    <t>##ILM  "Bundesh.JAGDsocken"  W50+A30+P20</t>
  </si>
  <si>
    <t>Hüftgold CauCawa BRA</t>
  </si>
  <si>
    <t>gegenbauer.at</t>
  </si>
  <si>
    <t xml:space="preserve"> U  n m e n g e n   v o n</t>
  </si>
  <si>
    <t>***  dm  AlnaturA  Erdnussmus fein|crunchy NEU/D</t>
  </si>
  <si>
    <t>digiware.eu    PLATINUM CD-R 700 MB</t>
  </si>
  <si>
    <t>ho  Schnittlauch/Petersilie</t>
  </si>
  <si>
    <t>##T   N&amp;R Naturreis lang EU 2kg</t>
  </si>
  <si>
    <r>
      <t>NUR-Mais-</t>
    </r>
    <r>
      <rPr>
        <b/>
        <sz val="12"/>
        <rFont val="Arial"/>
        <family val="2"/>
      </rPr>
      <t>CORNFLAKES</t>
    </r>
  </si>
  <si>
    <t>hofer  ZZU  Ö</t>
  </si>
  <si>
    <t>##T Taifun  Traditionell kBA</t>
  </si>
  <si>
    <r>
      <t xml:space="preserve">##T -Taifun MOMEN </t>
    </r>
    <r>
      <rPr>
        <b/>
        <i/>
        <sz val="12"/>
        <color indexed="55"/>
        <rFont val="Arial"/>
        <family val="2"/>
      </rPr>
      <t>demeter</t>
    </r>
  </si>
  <si>
    <t xml:space="preserve">dm bio </t>
  </si>
  <si>
    <t>Zucker!</t>
  </si>
  <si>
    <t>~~ V., Spengergasse</t>
  </si>
  <si>
    <t>*-  #B13  Eunature  Langkorn parboiled</t>
  </si>
  <si>
    <t xml:space="preserve"> ***T neuform sommer Feigen bio</t>
  </si>
  <si>
    <t>#BB  basic (22%) kbA "zweifach" Tube  It</t>
  </si>
  <si>
    <r>
      <t xml:space="preserve">ho  Carloni </t>
    </r>
    <r>
      <rPr>
        <b/>
        <sz val="10"/>
        <color indexed="12"/>
        <rFont val="Arial"/>
        <family val="2"/>
      </rPr>
      <t>"dreifach"</t>
    </r>
    <r>
      <rPr>
        <sz val="10"/>
        <color indexed="12"/>
        <rFont val="Arial"/>
        <family val="2"/>
      </rPr>
      <t xml:space="preserve"> Tube  It</t>
    </r>
  </si>
  <si>
    <t>einfach</t>
  </si>
  <si>
    <t>$1m  2x15</t>
  </si>
  <si>
    <t>BUTANGAS(Feuerzeuggas)</t>
  </si>
  <si>
    <t xml:space="preserve">ho  zzu    Braeburn  aus Ö   </t>
  </si>
  <si>
    <t>2003-09</t>
  </si>
  <si>
    <r>
      <t>CCC</t>
    </r>
    <r>
      <rPr>
        <b/>
        <sz val="10"/>
        <rFont val="Arial"/>
        <family val="2"/>
      </rPr>
      <t>CILANTRO  frisch</t>
    </r>
  </si>
  <si>
    <t>***  denns Alber  SShiitake  (275ml Glas)</t>
  </si>
  <si>
    <t>blau == NON-bio</t>
  </si>
  <si>
    <t>pro Stk.</t>
  </si>
  <si>
    <t>##T Sonnentor PFEFFER schwarz ganz IND</t>
  </si>
  <si>
    <t xml:space="preserve">ho  zzu    ElStar(Topaz/Braeburn)   aus Ö   </t>
  </si>
  <si>
    <t>PM Gambrinus AF(&lt;0,5%) dose  D</t>
  </si>
  <si>
    <t>hofer  KarlsKrone (&lt;0,5%) dose  A</t>
  </si>
  <si>
    <t>2020-06</t>
  </si>
  <si>
    <t>ET7 koska   hell</t>
  </si>
  <si>
    <t>ETISAN VURAL KEG, Siebenbrunnengasse 63, 1050</t>
  </si>
  <si>
    <t>ET1  Hayat   hell  'im Krug' TÜRK</t>
  </si>
  <si>
    <t>ARG</t>
  </si>
  <si>
    <t>2011-08</t>
  </si>
  <si>
    <t xml:space="preserve">stuecklberger    </t>
  </si>
  <si>
    <t>##T Vollkraft grob kbA</t>
  </si>
  <si>
    <t>Etsan  ET1</t>
  </si>
  <si>
    <t xml:space="preserve">#PM  penny </t>
  </si>
  <si>
    <t>Ev / Pkg.</t>
  </si>
  <si>
    <t>schawarze/braune/Kidney/…Bohnen  (Dosen)</t>
  </si>
  <si>
    <t>KidneyBohnen  getrocknet</t>
  </si>
  <si>
    <t>AZ-AntersdorferMuehle (6 x 500 g)</t>
  </si>
  <si>
    <t>***(*)   PM GRÜN "LaGranata" ?Esp</t>
  </si>
  <si>
    <t xml:space="preserve">***  BB Loverendale SoYeah Schoko?Vanille. 500ml=270g </t>
  </si>
  <si>
    <t>B13  Neumarkter Lammsbräu   Fl.</t>
  </si>
  <si>
    <t>PM todayDent classic|mint  500ml</t>
  </si>
  <si>
    <t>PM Weinsauerkraut</t>
  </si>
  <si>
    <t>www.spar.at</t>
  </si>
  <si>
    <t>SPAR  Budget geschält (m.SoBluÖl)</t>
  </si>
  <si>
    <t xml:space="preserve"> ***T neuform PAMUK Feigen bio</t>
  </si>
  <si>
    <t>*****   ho ZuckerM GALIA Okashi</t>
  </si>
  <si>
    <t>***   Asia-2 MSDF NIGHTQUEEN  20g</t>
  </si>
  <si>
    <t>2008-01</t>
  </si>
  <si>
    <r>
      <t xml:space="preserve">##T VollKraft </t>
    </r>
    <r>
      <rPr>
        <b/>
        <sz val="10"/>
        <color indexed="10"/>
        <rFont val="Arial"/>
        <family val="2"/>
      </rPr>
      <t>vollfett</t>
    </r>
    <r>
      <rPr>
        <sz val="10"/>
        <color indexed="10"/>
        <rFont val="Arial"/>
        <family val="2"/>
      </rPr>
      <t xml:space="preserve">  (PET)</t>
    </r>
  </si>
  <si>
    <t>Billa:  NUR mit ZUCKER</t>
  </si>
  <si>
    <r>
      <t xml:space="preserve">#hofer  </t>
    </r>
    <r>
      <rPr>
        <b/>
        <sz val="10"/>
        <color indexed="14"/>
        <rFont val="Arial"/>
        <family val="2"/>
      </rPr>
      <t>Bio-Pumpernickel</t>
    </r>
    <r>
      <rPr>
        <b/>
        <sz val="10"/>
        <rFont val="Arial"/>
        <family val="2"/>
      </rPr>
      <t xml:space="preserve"> (H)</t>
    </r>
  </si>
  <si>
    <t>1 geh.TL (Glas Kaffee)</t>
  </si>
  <si>
    <t>Fettsre-Polyglycerol-Ester</t>
  </si>
  <si>
    <r>
      <t xml:space="preserve">spar  VITAL  </t>
    </r>
    <r>
      <rPr>
        <b/>
        <sz val="10"/>
        <color indexed="40"/>
        <rFont val="Arial"/>
        <family val="2"/>
      </rPr>
      <t>SOJA Vanille</t>
    </r>
    <r>
      <rPr>
        <sz val="10"/>
        <color indexed="40"/>
        <rFont val="Arial"/>
        <family val="2"/>
      </rPr>
      <t xml:space="preserve">    1l==550g</t>
    </r>
  </si>
  <si>
    <t>Stk./Pkg.</t>
  </si>
  <si>
    <t>c / Stk.</t>
  </si>
  <si>
    <t>Penny weiße Bohnen 800g Dose</t>
  </si>
  <si>
    <t>Penny Kümmel ganz</t>
  </si>
  <si>
    <r>
      <t>mmmmmehlwmwmwmvkwm</t>
    </r>
    <r>
      <rPr>
        <b/>
        <sz val="12"/>
        <rFont val="Arial"/>
        <family val="2"/>
      </rPr>
      <t xml:space="preserve"> WEIZENMEHL </t>
    </r>
  </si>
  <si>
    <t>***  BB  DeRit  Kichererbsen 360g Glas</t>
  </si>
  <si>
    <t xml:space="preserve">#lidl  biotrend VK Farfalle </t>
  </si>
  <si>
    <t>Ascorbate</t>
  </si>
  <si>
    <t>UPTECH(shop)   MediaRange DVD+R  16x blank Spindel</t>
  </si>
  <si>
    <t>leider, LEIDER  AUS</t>
  </si>
  <si>
    <t>2017-10</t>
  </si>
  <si>
    <t>lidl Freshona "italienische K."</t>
  </si>
  <si>
    <t>www.ETSAN.at, Rotenhofgasse 56-62</t>
  </si>
  <si>
    <t>Lidl</t>
  </si>
  <si>
    <t>***  ho (kleinere) (Gala?) Braeburn Ö</t>
  </si>
  <si>
    <t>***  hofer Burg mini-Lebkuchen Schokogebäck</t>
  </si>
  <si>
    <t>BB  kl.II  Ö</t>
  </si>
  <si>
    <t>##T  Sonnentor KREUZKÜMMEL==CUMIN ganz  Türk</t>
  </si>
  <si>
    <t>##T  Sonnentor SCHWARZKÜMMEL ganz  Ö</t>
  </si>
  <si>
    <r>
      <t xml:space="preserve">(-)  BB </t>
    </r>
    <r>
      <rPr>
        <b/>
        <i/>
        <sz val="11"/>
        <color indexed="55"/>
        <rFont val="Arial"/>
        <family val="2"/>
      </rPr>
      <t>demeter</t>
    </r>
    <r>
      <rPr>
        <sz val="10"/>
        <color indexed="55"/>
        <rFont val="Arial"/>
        <family val="2"/>
      </rPr>
      <t xml:space="preserve"> </t>
    </r>
    <r>
      <rPr>
        <b/>
        <sz val="10"/>
        <color indexed="55"/>
        <rFont val="Arial"/>
        <family val="2"/>
      </rPr>
      <t>Naturata</t>
    </r>
    <r>
      <rPr>
        <sz val="10"/>
        <color indexed="55"/>
        <rFont val="Arial"/>
        <family val="2"/>
      </rPr>
      <t xml:space="preserve"> Tomatensauce Arrabbiata </t>
    </r>
  </si>
  <si>
    <t>ho  naturesGold Ö 500g</t>
  </si>
  <si>
    <t>azJdenTag Weinsauerkraut</t>
  </si>
  <si>
    <t>dzt aus</t>
  </si>
  <si>
    <t>#BB  basic (22%) kbA Glas  It</t>
  </si>
  <si>
    <t>B13   Ö</t>
  </si>
  <si>
    <t>#dm Alnatura  'Speisestärke'</t>
  </si>
  <si>
    <t xml:space="preserve">Billigshop "scont% natally", XII., MeidlingerHauptstr.  14 </t>
  </si>
  <si>
    <t>sc4</t>
  </si>
  <si>
    <r>
      <t xml:space="preserve">T sonnentor kbA </t>
    </r>
    <r>
      <rPr>
        <b/>
        <sz val="10"/>
        <color indexed="14"/>
        <rFont val="Arial"/>
        <family val="2"/>
      </rPr>
      <t>China</t>
    </r>
  </si>
  <si>
    <t>NeckermannVersand</t>
  </si>
  <si>
    <t>2011-09</t>
  </si>
  <si>
    <t>***  spar  gefüllte Weinblätter  u.a. 'ANTIPASTI'  (offen)</t>
  </si>
  <si>
    <t>BoldKiwi  INTENSO</t>
  </si>
  <si>
    <t>BB  Sonnentor  GALGANT gemahlen INDO</t>
  </si>
  <si>
    <t>2016-04</t>
  </si>
  <si>
    <t>?aus?</t>
  </si>
  <si>
    <t>B13 BioVita Zitronenschale (Pulver) kbA</t>
  </si>
  <si>
    <t>B13 - Rapunzel</t>
  </si>
  <si>
    <t>ASS genericon 20x500mg</t>
  </si>
  <si>
    <t>c / g</t>
  </si>
  <si>
    <r>
      <t xml:space="preserve">  ttahin  </t>
    </r>
    <r>
      <rPr>
        <b/>
        <sz val="16"/>
        <rFont val="Arial"/>
        <family val="2"/>
      </rPr>
      <t>TAHIN  dunkel</t>
    </r>
  </si>
  <si>
    <t xml:space="preserve">bi  JaN  ITAL  </t>
  </si>
  <si>
    <t>**  lidl   KornBaguette</t>
  </si>
  <si>
    <t>##T VollKraft Anis ganz  Ö</t>
  </si>
  <si>
    <t>#BB  weiss  Ö</t>
  </si>
  <si>
    <t>B13  grüne</t>
  </si>
  <si>
    <t>MV</t>
  </si>
  <si>
    <r>
      <t xml:space="preserve">MaranVegan  Stumperg. 57   --- </t>
    </r>
    <r>
      <rPr>
        <b/>
        <i/>
        <sz val="12"/>
        <color indexed="14"/>
        <rFont val="Arial"/>
        <family val="2"/>
      </rPr>
      <t>*neu* 07/013</t>
    </r>
  </si>
  <si>
    <t>MaranVegan</t>
  </si>
  <si>
    <r>
      <t xml:space="preserve">Mo-Fr 8-19 + Sa 8-18  </t>
    </r>
    <r>
      <rPr>
        <b/>
        <sz val="12"/>
        <color indexed="14"/>
        <rFont val="Arial"/>
        <family val="2"/>
      </rPr>
      <t>???</t>
    </r>
  </si>
  <si>
    <t>TEKAMPAGNE.de  green Darjeeling   inkl.Versand  IND</t>
  </si>
  <si>
    <t>NaOH</t>
  </si>
  <si>
    <t>/kg</t>
  </si>
  <si>
    <t>hofer   Gala Ö</t>
  </si>
  <si>
    <t>B13  Sonnentor edelsüß</t>
  </si>
  <si>
    <t>L  dentalux  500ml</t>
  </si>
  <si>
    <t>L freshona gehackte Tomaten It</t>
  </si>
  <si>
    <t>L freshona XXXXX gehackte BIO Tomaten It</t>
  </si>
  <si>
    <t>T  viana  FRÜHLINGSROLLEN kbA</t>
  </si>
  <si>
    <t>2007-01</t>
  </si>
  <si>
    <t>Mehlmenge</t>
  </si>
  <si>
    <t>hofer  bio fair  Peru</t>
  </si>
  <si>
    <t>ho  NaturAktiv nativ EU</t>
  </si>
  <si>
    <t>EST   BW kbA  45</t>
  </si>
  <si>
    <t>BB Oekoland  Gartenkräuter  tiefgefroren</t>
  </si>
  <si>
    <t>##T Vollkraft kbA PET</t>
  </si>
  <si>
    <t>hofer Burg Schoko-Lebkuchen Herzen/Sterne/Brezen</t>
  </si>
  <si>
    <t>2007-08</t>
  </si>
  <si>
    <t xml:space="preserve">denns Rapunzel2x </t>
  </si>
  <si>
    <t>d  denree</t>
  </si>
  <si>
    <t>d  Gustoni  klassisch Essig-Salzlake 300ml Glas</t>
  </si>
  <si>
    <r>
      <t xml:space="preserve">*  AMAZON-Alnatura bio grüne [mini] </t>
    </r>
    <r>
      <rPr>
        <b/>
        <sz val="10"/>
        <color indexed="14"/>
        <rFont val="Arial"/>
        <family val="2"/>
      </rPr>
      <t>mitKern</t>
    </r>
    <r>
      <rPr>
        <b/>
        <sz val="10"/>
        <color indexed="8"/>
        <rFont val="Arial"/>
        <family val="2"/>
      </rPr>
      <t xml:space="preserve"> 6x 310g Glas</t>
    </r>
  </si>
  <si>
    <t>d  dennree Seitan mariniert It</t>
  </si>
  <si>
    <t>****  m.asia Orkay Strawberry</t>
  </si>
  <si>
    <t>***   BB basic   400g Dose</t>
  </si>
  <si>
    <t>CARBO MEDICINALIS</t>
  </si>
  <si>
    <t>****  BB  PINOVA  Ö</t>
  </si>
  <si>
    <r>
      <t xml:space="preserve">     </t>
    </r>
    <r>
      <rPr>
        <b/>
        <sz val="12"/>
        <rFont val="Arial"/>
        <family val="2"/>
      </rPr>
      <t>STEVIA Rebaudiana     EXTRAKT: STEVIOSID</t>
    </r>
  </si>
  <si>
    <t>2012-03</t>
  </si>
  <si>
    <t xml:space="preserve">hofer  </t>
  </si>
  <si>
    <t>BB  basic DE</t>
  </si>
  <si>
    <t>PAGRO  LR44</t>
  </si>
  <si>
    <t>B13  ?Italien</t>
  </si>
  <si>
    <t>BB  Sobo SojaSchnetzel</t>
  </si>
  <si>
    <r>
      <t>H</t>
    </r>
    <r>
      <rPr>
        <b/>
        <sz val="12"/>
        <rFont val="Arial"/>
        <family val="2"/>
      </rPr>
      <t>HaselMus   HASELNUSS-MUS</t>
    </r>
  </si>
  <si>
    <t>Ho Kerzen E14 25/25/40/40/60W</t>
  </si>
  <si>
    <t>AUS (???)</t>
  </si>
  <si>
    <t xml:space="preserve">d2 Rapunzel BIO  </t>
  </si>
  <si>
    <t>FensterThermometer innen/außen</t>
  </si>
  <si>
    <t>PAPRIKA  Ö</t>
  </si>
  <si>
    <t>AMZON\Doyal  970 ml Plastikfl.</t>
  </si>
  <si>
    <t>denns  Sonnentor  INGWER gemahlen kbA</t>
  </si>
  <si>
    <t xml:space="preserve">denns    </t>
  </si>
  <si>
    <t>DM Bio-Roggen-Vollkorn (6M)</t>
  </si>
  <si>
    <r>
      <t>sssssss</t>
    </r>
    <r>
      <rPr>
        <b/>
        <sz val="12"/>
        <rFont val="Arial"/>
        <family val="2"/>
      </rPr>
      <t>SENF</t>
    </r>
  </si>
  <si>
    <t>2013-12</t>
  </si>
  <si>
    <t>##T   Rapunzel Rapsöl D</t>
  </si>
  <si>
    <r>
      <t>foto-video.at--</t>
    </r>
    <r>
      <rPr>
        <b/>
        <sz val="10"/>
        <rFont val="Arial"/>
        <family val="2"/>
      </rPr>
      <t xml:space="preserve"> BCI-24-BK cpt. DruckMich 9.5ml(?)</t>
    </r>
  </si>
  <si>
    <t>hofer zzU  bio Ö</t>
  </si>
  <si>
    <t>denns sonnentor vanille kbA</t>
  </si>
  <si>
    <t>denns Davert BOCKSHORNKLEE Keimsaat kbA</t>
  </si>
  <si>
    <t>ILM  "walk sport sicks"  70BW+30PE</t>
  </si>
  <si>
    <t xml:space="preserve">ILM  "Norweger WOLLsocken" W60+A30+PA10  </t>
  </si>
  <si>
    <t xml:space="preserve">hofer 74BW+26PA Socken schwarz  </t>
  </si>
  <si>
    <t>PM  Rapso Ö</t>
  </si>
  <si>
    <r>
      <t xml:space="preserve">***  #B13  Viana Käptn Tofus </t>
    </r>
    <r>
      <rPr>
        <b/>
        <sz val="10"/>
        <color indexed="55"/>
        <rFont val="Arial"/>
        <family val="2"/>
      </rPr>
      <t>KNUSPERSTÄBCHEN</t>
    </r>
    <r>
      <rPr>
        <sz val="10"/>
        <color indexed="55"/>
        <rFont val="Arial"/>
        <family val="2"/>
      </rPr>
      <t xml:space="preserve">  kbA</t>
    </r>
  </si>
  <si>
    <t>#Penny  (speckige)  Ö</t>
  </si>
  <si>
    <t>T  viana  TOFU-GEMÜSESCHNITZERL kbA</t>
  </si>
  <si>
    <t>ho ZZU "P.-Raritäten" Ö</t>
  </si>
  <si>
    <r>
      <t xml:space="preserve">B13  </t>
    </r>
    <r>
      <rPr>
        <b/>
        <sz val="10"/>
        <color indexed="54"/>
        <rFont val="Arial"/>
        <family val="2"/>
      </rPr>
      <t>KLETZEN</t>
    </r>
    <r>
      <rPr>
        <sz val="10"/>
        <color indexed="54"/>
        <rFont val="Arial"/>
        <family val="2"/>
      </rPr>
      <t xml:space="preserve">  kbA</t>
    </r>
  </si>
  <si>
    <r>
      <t xml:space="preserve">B4  </t>
    </r>
    <r>
      <rPr>
        <b/>
        <sz val="10"/>
        <color indexed="54"/>
        <rFont val="Arial"/>
        <family val="2"/>
      </rPr>
      <t>KLETZEN</t>
    </r>
    <r>
      <rPr>
        <sz val="10"/>
        <color indexed="54"/>
        <rFont val="Arial"/>
        <family val="2"/>
      </rPr>
      <t xml:space="preserve">  kbA</t>
    </r>
  </si>
  <si>
    <r>
      <t xml:space="preserve">Merkur </t>
    </r>
    <r>
      <rPr>
        <b/>
        <sz val="10"/>
        <color indexed="54"/>
        <rFont val="Arial"/>
        <family val="2"/>
      </rPr>
      <t>KLETZEN</t>
    </r>
    <r>
      <rPr>
        <sz val="10"/>
        <color indexed="54"/>
        <rFont val="Arial"/>
        <family val="2"/>
      </rPr>
      <t xml:space="preserve">  NON-bio, A</t>
    </r>
  </si>
  <si>
    <t>Mondo</t>
  </si>
  <si>
    <t>dm</t>
  </si>
  <si>
    <t>PHIL</t>
  </si>
  <si>
    <t>c/Stk</t>
  </si>
  <si>
    <t>+   BB Esp</t>
  </si>
  <si>
    <t>M  LeBaron  400g Dose</t>
  </si>
  <si>
    <t>KKM</t>
  </si>
  <si>
    <t>St</t>
  </si>
  <si>
    <t>$1 MHS75 set mit 4 LR44 u.a.</t>
  </si>
  <si>
    <t>m.asia  bright  TODDY-PALM'S seed &amp; JACKFRUIT in Sirup (THAI)</t>
  </si>
  <si>
    <t>****  m.asia Tridev Strawberry</t>
  </si>
  <si>
    <t xml:space="preserve">az.de    TDK T19504 DVD+R Rohling 4,7GB in Cakebox </t>
  </si>
  <si>
    <t xml:space="preserve"> vollkraft  country  SOJABOHNEN gruen kbA</t>
  </si>
  <si>
    <t xml:space="preserve">BB  Naturoase = Hanfwelt.AT  </t>
  </si>
  <si>
    <t>2015-11</t>
  </si>
  <si>
    <t>*** hofer  (Roggen) Knusperlaib</t>
  </si>
  <si>
    <t>$1platz   3x8g</t>
  </si>
  <si>
    <t>Spar NaturpurbioSencha</t>
  </si>
  <si>
    <t>Spar Teekanne bioHochland</t>
  </si>
  <si>
    <t>dm ALNATURA rosinen bio</t>
  </si>
  <si>
    <t>PM  Mango  BRA</t>
  </si>
  <si>
    <t>Bi  Italien</t>
  </si>
  <si>
    <t xml:space="preserve">billa, merkur  JaN    </t>
  </si>
  <si>
    <t xml:space="preserve">Carboxymethylcellulose </t>
  </si>
  <si>
    <r>
      <t>h</t>
    </r>
    <r>
      <rPr>
        <b/>
        <sz val="10"/>
        <color indexed="40"/>
        <rFont val="Arial"/>
        <family val="2"/>
      </rPr>
      <t>ofer  Mango  BRA</t>
    </r>
  </si>
  <si>
    <t>denns Lima</t>
  </si>
  <si>
    <t>denns Rapunzel</t>
  </si>
  <si>
    <t>denns  Konfigel</t>
  </si>
  <si>
    <t>denns Naturgarten AGAR</t>
  </si>
  <si>
    <t>sc3  dynamic  "7W=35W"</t>
  </si>
  <si>
    <t>sc3  A&amp;G  7W==35W</t>
  </si>
  <si>
    <r>
      <t xml:space="preserve">N&amp;R Bogataj Thomas, X., Columbusgasse 49 (/Quellenstr.)  </t>
    </r>
    <r>
      <rPr>
        <b/>
        <i/>
        <sz val="10"/>
        <color indexed="14"/>
        <rFont val="Arial"/>
        <family val="2"/>
      </rPr>
      <t xml:space="preserve"> R.I.P</t>
    </r>
  </si>
  <si>
    <r>
      <t>hhhhbbrot   H-</t>
    </r>
    <r>
      <rPr>
        <b/>
        <sz val="14"/>
        <rFont val="Arial"/>
        <family val="2"/>
      </rPr>
      <t>H-BROT</t>
    </r>
  </si>
  <si>
    <t>SPAR\NaturPur bio RoggenVK(/Leinsaat)</t>
  </si>
  <si>
    <t>d  dennree  geölt</t>
  </si>
  <si>
    <t>denns … AGAR</t>
  </si>
  <si>
    <t>BB ? cm</t>
  </si>
  <si>
    <t>2008-02</t>
  </si>
  <si>
    <t>BB  Sonnetor Korianderkraut kbA  D</t>
  </si>
  <si>
    <t>MHS  Waldviertler</t>
  </si>
  <si>
    <t>denns BioVita Orangenschale (Pulver) kbA</t>
  </si>
  <si>
    <t>2018-09</t>
  </si>
  <si>
    <t>lidl Kania HU</t>
  </si>
  <si>
    <t>***  hofer ZZU Weizenkrusterl Vortag  Ö</t>
  </si>
  <si>
    <t>2013-03</t>
  </si>
  <si>
    <t>2022-12</t>
  </si>
  <si>
    <t>denree  Tofu Basilikum</t>
  </si>
  <si>
    <t>denree 1fach</t>
  </si>
  <si>
    <t xml:space="preserve">d sonnentor WACHOLDERBEEREN </t>
  </si>
  <si>
    <t>PM  penny  salzstangerl (sticks)</t>
  </si>
  <si>
    <t>***   #m.asia SatyaSaiBaba NAG CHAMPA  BLAU (15g; 14Stk.)</t>
  </si>
  <si>
    <t>ZP, Billa, ... alkaline 9V-block</t>
  </si>
  <si>
    <t>bis</t>
  </si>
  <si>
    <t>E1   Mignon (AA)</t>
  </si>
  <si>
    <t>FISOLEN  "Schnittbohnen"</t>
  </si>
  <si>
    <t>**  hofer ZZU Dinkel  Ö</t>
  </si>
  <si>
    <t>lidl Freshona 6-K-Mischun</t>
  </si>
  <si>
    <t>***  lidlFreshona  Dill</t>
  </si>
  <si>
    <t>***  sc4 batonetes Jasmin,Santal</t>
  </si>
  <si>
    <t>Merkur Früchtebrot</t>
  </si>
  <si>
    <r>
      <t xml:space="preserve">sssalzzz  </t>
    </r>
    <r>
      <rPr>
        <b/>
        <sz val="14"/>
        <color indexed="18"/>
        <rFont val="Arial"/>
        <family val="2"/>
      </rPr>
      <t xml:space="preserve"> TafelSalz</t>
    </r>
  </si>
  <si>
    <t xml:space="preserve">T  Blätter ?VollKraft? </t>
  </si>
  <si>
    <t>2015-10</t>
  </si>
  <si>
    <t>BB  ShiiTake Ö</t>
  </si>
  <si>
    <r>
      <t xml:space="preserve">  T </t>
    </r>
    <r>
      <rPr>
        <b/>
        <i/>
        <sz val="12"/>
        <color indexed="10"/>
        <rFont val="Arial"/>
        <family val="2"/>
      </rPr>
      <t>demeter</t>
    </r>
    <r>
      <rPr>
        <sz val="10"/>
        <color indexed="10"/>
        <rFont val="Arial"/>
        <family val="2"/>
      </rPr>
      <t xml:space="preserve"> DeRit Rote Bete  370ml Glas</t>
    </r>
  </si>
  <si>
    <r>
      <t xml:space="preserve">***  #dm </t>
    </r>
    <r>
      <rPr>
        <b/>
        <sz val="10"/>
        <color indexed="14"/>
        <rFont val="Arial"/>
        <family val="2"/>
      </rPr>
      <t>alnatura</t>
    </r>
    <r>
      <rPr>
        <b/>
        <sz val="10"/>
        <color indexed="55"/>
        <rFont val="Arial"/>
        <family val="2"/>
      </rPr>
      <t xml:space="preserve"> veg. BOLOGNESE  "klassisch neueRezeptur"</t>
    </r>
  </si>
  <si>
    <t>Az-Pfanner</t>
  </si>
  <si>
    <t>BackWerk   (neue(2009) filiale: 11/009:) MHS ca. 70   = TOTALBOYKOTTwürdig</t>
  </si>
  <si>
    <r>
      <t xml:space="preserve">  B13 </t>
    </r>
    <r>
      <rPr>
        <b/>
        <i/>
        <sz val="12"/>
        <color indexed="8"/>
        <rFont val="Arial"/>
        <family val="2"/>
      </rPr>
      <t>demeter</t>
    </r>
    <r>
      <rPr>
        <sz val="10"/>
        <color indexed="8"/>
        <rFont val="Arial"/>
        <family val="2"/>
      </rPr>
      <t xml:space="preserve"> DeRit Rote Bete  720ml Glas</t>
    </r>
  </si>
  <si>
    <t>MXX</t>
  </si>
  <si>
    <t>Bi  grüne 2Stk. Ö</t>
  </si>
  <si>
    <t>denns  Sonnentor KREUZKÜMMEL==CUMIN ganz</t>
  </si>
  <si>
    <t>**   dm  alnatura Champignon-pastete</t>
  </si>
  <si>
    <r>
      <t xml:space="preserve">Merkur- </t>
    </r>
    <r>
      <rPr>
        <b/>
        <i/>
        <sz val="12"/>
        <color indexed="10"/>
        <rFont val="Arial"/>
        <family val="2"/>
      </rPr>
      <t>!!ACHTUNG!! Ausländische Ware wiederholt als Österreichisch angeschrieben  !!</t>
    </r>
  </si>
  <si>
    <t>/Paar</t>
  </si>
  <si>
    <t>lidl bio Combino VK Penne</t>
  </si>
  <si>
    <t>BB  Rapunzel  Weisse Bohnen  400g Dose</t>
  </si>
  <si>
    <t>T  Amore GOURMET  Orange</t>
  </si>
  <si>
    <t>T  N&amp;R  Türk.</t>
  </si>
  <si>
    <t>Future-X.at  INTENSO</t>
  </si>
  <si>
    <r>
      <t>****  hofer-7 Choceur noir</t>
    </r>
    <r>
      <rPr>
        <b/>
        <sz val="12"/>
        <color indexed="12"/>
        <rFont val="Arial"/>
        <family val="2"/>
      </rPr>
      <t xml:space="preserve"> </t>
    </r>
    <r>
      <rPr>
        <b/>
        <sz val="12"/>
        <color indexed="57"/>
        <rFont val="Arial"/>
        <family val="2"/>
      </rPr>
      <t>85%</t>
    </r>
    <r>
      <rPr>
        <b/>
        <sz val="10"/>
        <color indexed="12"/>
        <rFont val="Arial"/>
        <family val="2"/>
      </rPr>
      <t xml:space="preserve">  </t>
    </r>
  </si>
  <si>
    <t xml:space="preserve">amazon.de  Maxell </t>
  </si>
  <si>
    <t>Az PFEFFER schwarz bio</t>
  </si>
  <si>
    <t>T BioVita Orangenschale (Pulver) kbA</t>
  </si>
  <si>
    <t>2006-12</t>
  </si>
  <si>
    <t>***  #T  Taifun Graffiti-Tofu-Terrine</t>
  </si>
  <si>
    <t>BB  ilNutrimento Kidney/braune/schw.   400g Dose</t>
  </si>
  <si>
    <t>2018-06</t>
  </si>
  <si>
    <t>B13 Rapunzel (22%) kbA Tube  It</t>
  </si>
  <si>
    <t>*** hofer Stracciatellakuchen</t>
  </si>
  <si>
    <t>hofer ESP</t>
  </si>
  <si>
    <t>##T Taifun TOFU-WIENER</t>
  </si>
  <si>
    <t>##T  SojVita Natur</t>
  </si>
  <si>
    <t>##T  SojVita  geräuchert</t>
  </si>
  <si>
    <t>50%</t>
  </si>
  <si>
    <t>T, Türk</t>
  </si>
  <si>
    <t xml:space="preserve">ZP  Plus  nyance </t>
  </si>
  <si>
    <t>BB  2*KokosNuss ganz  SRL</t>
  </si>
  <si>
    <t>***  hofer wintertraum Mini-Schokolebkuchen</t>
  </si>
  <si>
    <t>dm  hibiskus: NADA</t>
  </si>
  <si>
    <r>
      <t xml:space="preserve">***  #T  Schrott </t>
    </r>
    <r>
      <rPr>
        <b/>
        <sz val="10"/>
        <color indexed="16"/>
        <rFont val="Arial"/>
        <family val="2"/>
      </rPr>
      <t>Dinkel</t>
    </r>
    <r>
      <rPr>
        <sz val="10"/>
        <color indexed="16"/>
        <rFont val="Arial"/>
        <family val="2"/>
      </rPr>
      <t>Wanderl  (Sauerteig)  Ö</t>
    </r>
  </si>
  <si>
    <t>#hofer naturesGold  Champignons   400g Dose  PL</t>
  </si>
  <si>
    <t>dm alnatura RATATOUILLE</t>
  </si>
  <si>
    <t>k.A.!</t>
  </si>
  <si>
    <t>(**) T SojVita bio Spezial</t>
  </si>
  <si>
    <r>
      <t xml:space="preserve">EG TopfKratzer metall </t>
    </r>
    <r>
      <rPr>
        <b/>
        <sz val="10"/>
        <color indexed="18"/>
        <rFont val="Arial"/>
        <family val="2"/>
      </rPr>
      <t>ROSTFREI!</t>
    </r>
  </si>
  <si>
    <t>denns Rapunzel DOLMADES</t>
  </si>
  <si>
    <t>UV  9V-block  8.4 V * 150 mAh</t>
  </si>
  <si>
    <t>BB ilNutrimento  400g Dose It</t>
  </si>
  <si>
    <t>hofer  bella  40%</t>
  </si>
  <si>
    <t>"-30%"</t>
  </si>
  <si>
    <t>BB Nestlberger grob/fein  Ö</t>
  </si>
  <si>
    <t>refill24   BC-05 (compatible</t>
  </si>
  <si>
    <r>
      <t>tttt</t>
    </r>
    <r>
      <rPr>
        <b/>
        <sz val="8"/>
        <color indexed="55"/>
        <rFont val="Arial"/>
        <family val="2"/>
      </rPr>
      <t xml:space="preserve">ttofu   plain </t>
    </r>
    <r>
      <rPr>
        <b/>
        <sz val="14"/>
        <rFont val="Arial"/>
        <family val="2"/>
      </rPr>
      <t>TOFU</t>
    </r>
  </si>
  <si>
    <t>***  $1platz  BestChoice (blau/blau)  8+15+25g</t>
  </si>
  <si>
    <t>T Rapunzel kbA</t>
  </si>
  <si>
    <t>blatt</t>
  </si>
  <si>
    <t>E/1000Bl.</t>
  </si>
  <si>
    <t>BATTERIEN  alkaline  9V</t>
  </si>
  <si>
    <t>ÄPFEL</t>
  </si>
  <si>
    <t>BB  AmanPrana  bio FairTrade</t>
  </si>
  <si>
    <t>CEY</t>
  </si>
  <si>
    <t>CEYlon = SRiLanka</t>
  </si>
  <si>
    <r>
      <t>ho  ZZU klein|</t>
    </r>
    <r>
      <rPr>
        <sz val="10"/>
        <color indexed="55"/>
        <rFont val="Arial"/>
        <family val="2"/>
      </rPr>
      <t>groß</t>
    </r>
    <r>
      <rPr>
        <b/>
        <sz val="10"/>
        <color indexed="55"/>
        <rFont val="Arial"/>
        <family val="2"/>
      </rPr>
      <t xml:space="preserve"> Ö</t>
    </r>
  </si>
  <si>
    <t>#d  MONKI bio</t>
  </si>
  <si>
    <t>AUFGELASSEN...sc3  xclou  60/40/25W</t>
  </si>
  <si>
    <t>B13 Rapunzel DOLMAS</t>
  </si>
  <si>
    <t>***   BB ilNutrimento MIX  400g Dose</t>
  </si>
  <si>
    <r>
      <t xml:space="preserve">RoRüRrroRrrü   </t>
    </r>
    <r>
      <rPr>
        <b/>
        <sz val="12"/>
        <rFont val="Arial"/>
        <family val="2"/>
      </rPr>
      <t>ROTE RÜBEN</t>
    </r>
  </si>
  <si>
    <r>
      <t xml:space="preserve">RoRüRrroRRrü  </t>
    </r>
    <r>
      <rPr>
        <b/>
        <sz val="12"/>
        <color indexed="8"/>
        <rFont val="Arial"/>
        <family val="2"/>
      </rPr>
      <t>ROTE RÜBEN</t>
    </r>
  </si>
  <si>
    <t>##T   N&amp;R Naturreis rund EU 2kg</t>
  </si>
  <si>
    <r>
      <t xml:space="preserve">***  hofer ZZU Spezialweckerl </t>
    </r>
    <r>
      <rPr>
        <b/>
        <sz val="10"/>
        <color indexed="17"/>
        <rFont val="Arial"/>
        <family val="2"/>
      </rPr>
      <t>vortag</t>
    </r>
  </si>
  <si>
    <t>ho NaturAktiv</t>
  </si>
  <si>
    <r>
      <t xml:space="preserve">***  </t>
    </r>
    <r>
      <rPr>
        <b/>
        <sz val="10"/>
        <color indexed="10"/>
        <rFont val="Arial"/>
        <family val="2"/>
      </rPr>
      <t>spar  naturpur "BlackBeauty"</t>
    </r>
    <r>
      <rPr>
        <sz val="10"/>
        <color indexed="10"/>
        <rFont val="Arial"/>
        <family val="2"/>
      </rPr>
      <t xml:space="preserve">  2Stk.  </t>
    </r>
    <r>
      <rPr>
        <b/>
        <sz val="10"/>
        <color indexed="14"/>
        <rFont val="Arial"/>
        <family val="2"/>
      </rPr>
      <t>PERU</t>
    </r>
  </si>
  <si>
    <t>Mo-Fr 7:40-20  Sa -7:40-18</t>
  </si>
  <si>
    <t>t=9.4g</t>
  </si>
  <si>
    <t>-20%?</t>
  </si>
  <si>
    <t>BB sobo|spielberger Sojaflocken kbA</t>
  </si>
  <si>
    <t>**   m.asia  It</t>
  </si>
  <si>
    <r>
      <t xml:space="preserve">BB  "BioK" </t>
    </r>
    <r>
      <rPr>
        <sz val="10"/>
        <color indexed="14"/>
        <rFont val="Arial"/>
        <family val="2"/>
      </rPr>
      <t xml:space="preserve"> Chili Bohnen Aufstrich</t>
    </r>
  </si>
  <si>
    <t>ZU?</t>
  </si>
  <si>
    <t>NW?</t>
  </si>
  <si>
    <t>**  #denns  dennree feine bitter 85%</t>
  </si>
  <si>
    <t>**  BB  dennree zartbitter 70%</t>
  </si>
  <si>
    <t>**  #denns  dennree zartbitter 70%</t>
  </si>
  <si>
    <t>SBW(23) - XII.</t>
  </si>
  <si>
    <t>B13  Lima Hatcho</t>
  </si>
  <si>
    <t>Thermometer innen/außen</t>
  </si>
  <si>
    <t>KAROTTEN</t>
  </si>
  <si>
    <t xml:space="preserve">  *** m.asia  Shiitake  CH</t>
  </si>
  <si>
    <t>hofer  60/40W</t>
  </si>
  <si>
    <t>(werdenimmerkleiner!!)   billa JaN mini  It</t>
  </si>
  <si>
    <t>BW</t>
  </si>
  <si>
    <t>dennns, vormals maran VII., Kaiserstr. 57-59  (ca.4km von mhs60)</t>
  </si>
  <si>
    <r>
      <t>***  #T  GranoVita Champignon-pastete</t>
    </r>
    <r>
      <rPr>
        <b/>
        <sz val="10"/>
        <color indexed="14"/>
        <rFont val="Arial"/>
        <family val="2"/>
      </rPr>
      <t xml:space="preserve"> NOT-bio</t>
    </r>
  </si>
  <si>
    <t>THAIland</t>
  </si>
  <si>
    <t>verbilligt</t>
  </si>
  <si>
    <t>denns : teurer</t>
  </si>
  <si>
    <t>***  hofer  ZZU bio Mohn(5%)-Kornweckerl 3x80g</t>
  </si>
  <si>
    <r>
      <t xml:space="preserve">--  B13 </t>
    </r>
    <r>
      <rPr>
        <b/>
        <i/>
        <sz val="12"/>
        <color indexed="8"/>
        <rFont val="Arial"/>
        <family val="2"/>
      </rPr>
      <t>demeter</t>
    </r>
    <r>
      <rPr>
        <sz val="10"/>
        <color indexed="8"/>
        <rFont val="Arial"/>
        <family val="2"/>
      </rPr>
      <t xml:space="preserve"> DeRit MIX MEXICANA  370ml Glas</t>
    </r>
  </si>
  <si>
    <t>B13  Rapunzel Sult.</t>
  </si>
  <si>
    <t>***   T - Fandler BIO</t>
  </si>
  <si>
    <t>1l</t>
  </si>
  <si>
    <t>MANGO</t>
  </si>
  <si>
    <t>PM Roggenbrot</t>
  </si>
  <si>
    <t>#lidl Heimat Anuschka bio Ö</t>
  </si>
  <si>
    <t>2016-12</t>
  </si>
  <si>
    <t>***  denns  Taifun  Bärlauch-Bratfilets</t>
  </si>
  <si>
    <t>Na-Sorbat</t>
  </si>
  <si>
    <t>2005-11</t>
  </si>
  <si>
    <t>LichtSparLampen</t>
  </si>
  <si>
    <t>lm</t>
  </si>
  <si>
    <t>W</t>
  </si>
  <si>
    <t>lm/W</t>
  </si>
  <si>
    <t>EG1 4x9g</t>
  </si>
  <si>
    <r>
      <t xml:space="preserve">B13  </t>
    </r>
    <r>
      <rPr>
        <i/>
        <sz val="10"/>
        <color indexed="22"/>
        <rFont val="Arial"/>
        <family val="2"/>
      </rPr>
      <t>MONKI</t>
    </r>
    <r>
      <rPr>
        <sz val="10"/>
        <color indexed="22"/>
        <rFont val="Arial"/>
        <family val="2"/>
      </rPr>
      <t xml:space="preserve"> bio </t>
    </r>
  </si>
  <si>
    <t xml:space="preserve">****  m.asia  GatewayOfIndia  </t>
  </si>
  <si>
    <t>ho  naturPur Walnusskerne kbA  MOL</t>
  </si>
  <si>
    <t>MOL</t>
  </si>
  <si>
    <t>PILZE (frisch)</t>
  </si>
  <si>
    <t>2010-05</t>
  </si>
  <si>
    <r>
      <t>FA</t>
    </r>
    <r>
      <rPr>
        <b/>
        <sz val="14"/>
        <color indexed="16"/>
        <rFont val="Arial"/>
        <family val="2"/>
      </rPr>
      <t>R</t>
    </r>
    <r>
      <rPr>
        <b/>
        <sz val="14"/>
        <color indexed="10"/>
        <rFont val="Arial"/>
        <family val="2"/>
      </rPr>
      <t>B</t>
    </r>
    <r>
      <rPr>
        <b/>
        <sz val="14"/>
        <rFont val="Arial"/>
        <family val="2"/>
      </rPr>
      <t>E</t>
    </r>
    <r>
      <rPr>
        <b/>
        <sz val="14"/>
        <color indexed="14"/>
        <rFont val="Arial"/>
        <family val="2"/>
      </rPr>
      <t>N</t>
    </r>
  </si>
  <si>
    <t>adamah</t>
  </si>
  <si>
    <r>
      <t xml:space="preserve">***  #BB  Taifun </t>
    </r>
    <r>
      <rPr>
        <sz val="10"/>
        <color indexed="8"/>
        <rFont val="Arial"/>
        <family val="2"/>
      </rPr>
      <t xml:space="preserve">  japanische Bratfilets</t>
    </r>
  </si>
  <si>
    <t>mit ZUCKER</t>
  </si>
  <si>
    <t>mit ZUCKER !!</t>
  </si>
  <si>
    <t>hofer wellactive  ...</t>
  </si>
  <si>
    <t>drogeriemarkt</t>
  </si>
  <si>
    <t>ET1  Koska  hell Türk</t>
  </si>
  <si>
    <t xml:space="preserve"> </t>
  </si>
  <si>
    <t>Brennwert</t>
  </si>
  <si>
    <t>kJ/g</t>
  </si>
  <si>
    <t>MJ</t>
  </si>
  <si>
    <t>kcal</t>
  </si>
  <si>
    <t>dm ALNATURA VK bio Farfalle</t>
  </si>
  <si>
    <t>SC4  SchäfeR-licht   "9W=45W"</t>
  </si>
  <si>
    <r>
      <t xml:space="preserve">ho  cucinaNobile  </t>
    </r>
    <r>
      <rPr>
        <b/>
        <sz val="10"/>
        <color indexed="12"/>
        <rFont val="Arial"/>
        <family val="2"/>
      </rPr>
      <t>"dreifach"</t>
    </r>
    <r>
      <rPr>
        <sz val="10"/>
        <color indexed="12"/>
        <rFont val="Arial"/>
        <family val="2"/>
      </rPr>
      <t xml:space="preserve"> Tube  It</t>
    </r>
  </si>
  <si>
    <t>44g Pl.</t>
  </si>
  <si>
    <t>51g Pl.</t>
  </si>
  <si>
    <r>
      <t xml:space="preserve">BB  Lebensbaum </t>
    </r>
    <r>
      <rPr>
        <b/>
        <i/>
        <sz val="13"/>
        <color indexed="55"/>
        <rFont val="Arial"/>
        <family val="2"/>
      </rPr>
      <t>demeter</t>
    </r>
    <r>
      <rPr>
        <sz val="12"/>
        <color indexed="55"/>
        <rFont val="Arial"/>
        <family val="2"/>
      </rPr>
      <t xml:space="preserve"> PFEFFER schwarz    "D"</t>
    </r>
  </si>
  <si>
    <t>B13  eunature It</t>
  </si>
  <si>
    <t>ARGentinien</t>
  </si>
  <si>
    <t>dm  alnatura  grün oeko  340ml Glas</t>
  </si>
  <si>
    <t>BH21</t>
  </si>
  <si>
    <t xml:space="preserve"> +8c/Fl</t>
  </si>
  <si>
    <r>
      <t>ssss</t>
    </r>
    <r>
      <rPr>
        <b/>
        <sz val="14"/>
        <color indexed="8"/>
        <rFont val="Arial"/>
        <family val="2"/>
      </rPr>
      <t>SOCKEN/Stutzen</t>
    </r>
  </si>
  <si>
    <t>***  PM  echtB!O gem."mit med. Kräutern"</t>
  </si>
  <si>
    <t>PREIS</t>
  </si>
  <si>
    <t>CHINAKOHL u.ä.</t>
  </si>
  <si>
    <t>Akku NiMH</t>
  </si>
  <si>
    <t>2009-04</t>
  </si>
  <si>
    <t>hofer   Pinova  D</t>
  </si>
  <si>
    <t>2017-06</t>
  </si>
  <si>
    <t>****  BB  Taifun  TOFU  Basilico</t>
  </si>
  <si>
    <t>Mo-Fr 8-19 + Sa 8-18</t>
  </si>
  <si>
    <r>
      <t xml:space="preserve"> ###T Sonenntor </t>
    </r>
    <r>
      <rPr>
        <b/>
        <sz val="12"/>
        <color indexed="8"/>
        <rFont val="Arial"/>
        <family val="2"/>
      </rPr>
      <t>BOCKSHORNKLEE</t>
    </r>
    <r>
      <rPr>
        <sz val="12"/>
        <color indexed="8"/>
        <rFont val="Arial"/>
        <family val="2"/>
      </rPr>
      <t xml:space="preserve">  gemahlen kbA HU</t>
    </r>
  </si>
  <si>
    <t>2,5l=90*  + 1/2*Versand</t>
  </si>
  <si>
    <r>
      <t xml:space="preserve">**  billa  </t>
    </r>
    <r>
      <rPr>
        <sz val="10"/>
        <color indexed="14"/>
        <rFont val="Arial"/>
        <family val="2"/>
      </rPr>
      <t>VegaVita</t>
    </r>
    <r>
      <rPr>
        <sz val="10"/>
        <color indexed="8"/>
        <rFont val="Arial"/>
        <family val="2"/>
      </rPr>
      <t xml:space="preserve">  Heurigenaufstrich</t>
    </r>
  </si>
  <si>
    <t>d Nestelberger bio KEM</t>
  </si>
  <si>
    <t xml:space="preserve">  d(****)  bioVerde</t>
  </si>
  <si>
    <t>**   m.asia  THAI</t>
  </si>
  <si>
    <t>(-)  m.asia  ORKAY MUSK</t>
  </si>
  <si>
    <t>lidl Heimat gekocht&amp;geschält Ö</t>
  </si>
  <si>
    <t xml:space="preserve">  ** BB sonnentor PETERSILIE aus Ö</t>
  </si>
  <si>
    <t>B13 Zwtschken</t>
  </si>
  <si>
    <t>B13 Birnen</t>
  </si>
  <si>
    <t>dm  alnatura  bio  ungesuesst</t>
  </si>
  <si>
    <t>$1platz Stil3 (roteglb)  4x9g</t>
  </si>
  <si>
    <t>NiederLande</t>
  </si>
  <si>
    <t>A2. Asia-2</t>
  </si>
  <si>
    <t>~~~~~  "  ~~~~~  (immer noch bio??)</t>
  </si>
  <si>
    <t>denns Rapunzel(22%) kbA Tube</t>
  </si>
  <si>
    <t>d  bioVerde  VEGAN CILANTRO/Koriander-Pesto</t>
  </si>
  <si>
    <t>***  ho  ZZU Kirsch~    Ö</t>
  </si>
  <si>
    <t>E2  testronic  100W</t>
  </si>
  <si>
    <r>
      <t xml:space="preserve">sssssaft   A/B   </t>
    </r>
    <r>
      <rPr>
        <b/>
        <sz val="12"/>
        <rFont val="Arial"/>
        <family val="2"/>
      </rPr>
      <t>FRUCHTSAFT</t>
    </r>
  </si>
  <si>
    <t>T sonnentor WACHOLDERBEEREN</t>
  </si>
  <si>
    <t>2004-01</t>
  </si>
  <si>
    <t>E2  testronic  25W</t>
  </si>
  <si>
    <t>BB ilNutrimento CANNELINI (klein) 400g Dose  It</t>
  </si>
  <si>
    <t>BB ilNutrimento FAGIOLI (groß) 400g Dose  It</t>
  </si>
  <si>
    <t xml:space="preserve"> E pro kg</t>
  </si>
  <si>
    <t>Birlik Selin</t>
  </si>
  <si>
    <t xml:space="preserve">***  BB Loverendale SoYeah Erdbeer. 500ml=270g </t>
  </si>
  <si>
    <t>Spar  Budget geschält (m.SoBluÖl)</t>
  </si>
  <si>
    <r>
      <t>PM</t>
    </r>
    <r>
      <rPr>
        <b/>
        <sz val="10"/>
        <color indexed="55"/>
        <rFont val="Arial"/>
        <family val="2"/>
      </rPr>
      <t xml:space="preserve">  echtB!O  rote "Bullhorn"  Ö</t>
    </r>
  </si>
  <si>
    <r>
      <t>eeis    EEIS</t>
    </r>
    <r>
      <rPr>
        <b/>
        <sz val="12"/>
        <color indexed="12"/>
        <rFont val="Arial"/>
        <family val="2"/>
      </rPr>
      <t xml:space="preserve">  EIS</t>
    </r>
  </si>
  <si>
    <t>hofer  HyperLux  E27 40W</t>
  </si>
  <si>
    <t xml:space="preserve">Billa JaN </t>
  </si>
  <si>
    <t>BB  basic geölt</t>
  </si>
  <si>
    <r>
      <t xml:space="preserve">B JaN </t>
    </r>
    <r>
      <rPr>
        <b/>
        <sz val="10"/>
        <color indexed="55"/>
        <rFont val="Arial"/>
        <family val="2"/>
      </rPr>
      <t>A/B(65+35)-SAFT</t>
    </r>
    <r>
      <rPr>
        <sz val="10"/>
        <color indexed="55"/>
        <rFont val="Arial"/>
        <family val="2"/>
      </rPr>
      <t xml:space="preserve"> kbA naturtrüber Direktsaft TetraPack Ö</t>
    </r>
  </si>
  <si>
    <r>
      <t xml:space="preserve">V-RB  Sonnentor </t>
    </r>
    <r>
      <rPr>
        <i/>
        <sz val="13"/>
        <rFont val="Arial"/>
        <family val="2"/>
      </rPr>
      <t>demeter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BASILIKUM</t>
    </r>
  </si>
  <si>
    <t>dm  alnatura Champignon-pastete</t>
  </si>
  <si>
    <t xml:space="preserve">dm xxxx </t>
  </si>
  <si>
    <t>Spar NaturPur bio-Datteln m.K. 200g</t>
  </si>
  <si>
    <t>-25% AUS</t>
  </si>
  <si>
    <t>***  spar  blaue  kernlos It</t>
  </si>
  <si>
    <r>
      <t xml:space="preserve">B JaN </t>
    </r>
    <r>
      <rPr>
        <b/>
        <sz val="10"/>
        <color indexed="17"/>
        <rFont val="Arial"/>
        <family val="2"/>
      </rPr>
      <t>APFELSAFT</t>
    </r>
    <r>
      <rPr>
        <sz val="10"/>
        <color indexed="17"/>
        <rFont val="Arial"/>
        <family val="2"/>
      </rPr>
      <t xml:space="preserve"> kbA milder Direktsaft TetraPack Ö</t>
    </r>
  </si>
  <si>
    <t xml:space="preserve"> ????</t>
  </si>
  <si>
    <t>** Asia-1  maejin  WONTON-Suppe (THAI)</t>
  </si>
  <si>
    <t>hofer Choceur noir Orange Venezela 55%</t>
  </si>
  <si>
    <t>T SojVita Dijon Kübelchen</t>
  </si>
  <si>
    <t>#hofer  Bio-(Roggen)-Vollkornbrot (H)</t>
  </si>
  <si>
    <r>
      <t xml:space="preserve">B13 </t>
    </r>
    <r>
      <rPr>
        <b/>
        <sz val="10"/>
        <color indexed="10"/>
        <rFont val="Arial"/>
        <family val="2"/>
      </rPr>
      <t>SojVita</t>
    </r>
    <r>
      <rPr>
        <sz val="10"/>
        <color indexed="10"/>
        <rFont val="Arial"/>
        <family val="2"/>
      </rPr>
      <t xml:space="preserve"> </t>
    </r>
  </si>
  <si>
    <t>=-(sauer)  ho PureFruit Apfel direkt</t>
  </si>
  <si>
    <t>*****   ho Honig-Cantaloup GALIA</t>
  </si>
  <si>
    <t>2018-01</t>
  </si>
  <si>
    <t>-20% "bio-trio"</t>
  </si>
  <si>
    <t>T  Hildegard GALGANT gemahlen</t>
  </si>
  <si>
    <r>
      <t xml:space="preserve">wbwbwbwwwb  </t>
    </r>
    <r>
      <rPr>
        <b/>
        <sz val="12"/>
        <color indexed="8"/>
        <rFont val="Arial"/>
        <family val="2"/>
      </rPr>
      <t>weiße Bohnen</t>
    </r>
  </si>
  <si>
    <r>
      <t>GGgggg</t>
    </r>
    <r>
      <rPr>
        <b/>
        <sz val="18"/>
        <rFont val="Arial"/>
        <family val="2"/>
      </rPr>
      <t>GEWÜRZE</t>
    </r>
  </si>
  <si>
    <t>lidl7  vitafit</t>
  </si>
  <si>
    <t>#ho  SweetValley</t>
  </si>
  <si>
    <t>2009-03</t>
  </si>
  <si>
    <t>g</t>
  </si>
  <si>
    <t>2004-04</t>
  </si>
  <si>
    <t>***  ho PureFruit Birne direkt</t>
  </si>
  <si>
    <t>füzschoaf</t>
  </si>
  <si>
    <t>ET0,ET1 Koska   hell TÜRK</t>
  </si>
  <si>
    <t>Bi BioK  Gemüse-Pastete</t>
  </si>
  <si>
    <t>ZP Globus</t>
  </si>
  <si>
    <t>ho vorw.fk. Ö</t>
  </si>
  <si>
    <t>*-*  BB Tofutti Erdbeer</t>
  </si>
  <si>
    <t>V-RB  denee bio VK-TW</t>
  </si>
  <si>
    <t>**-  hofer Burg Schoko-Lebkuchen Herzen/Sterne/Brezen</t>
  </si>
  <si>
    <r>
      <t xml:space="preserve">pro 100 </t>
    </r>
    <r>
      <rPr>
        <b/>
        <sz val="10"/>
        <rFont val="Arial"/>
        <family val="2"/>
      </rPr>
      <t>ml</t>
    </r>
  </si>
  <si>
    <t>##T Sonenntor  Senfkörner(schwarz) IND</t>
  </si>
  <si>
    <t>lidl CrustiCroc salzstangerl (sticks)</t>
  </si>
  <si>
    <r>
      <t xml:space="preserve">hofer  gusti </t>
    </r>
    <r>
      <rPr>
        <sz val="10"/>
        <color indexed="14"/>
        <rFont val="Arial"/>
        <family val="2"/>
      </rPr>
      <t>salzstangerl</t>
    </r>
    <r>
      <rPr>
        <sz val="10"/>
        <color indexed="12"/>
        <rFont val="Arial"/>
        <family val="2"/>
      </rPr>
      <t xml:space="preserve"> (sticks)</t>
    </r>
  </si>
  <si>
    <t>'Echt Günstig'  XII., Meidlinger Hauptstr. 69</t>
  </si>
  <si>
    <t>##T  Sonnentor  INGWER  gem. IND</t>
  </si>
  <si>
    <t>2013-01</t>
  </si>
  <si>
    <t>#hofer  Bio-Sonenblumenk.(5%)-(Roggen)-Vollkornbrot (H)</t>
  </si>
  <si>
    <t>##denns auf Best. 6x330g MONKI bio</t>
  </si>
  <si>
    <t>Asia-Shop, V., Margaretengürtel (innen, zw.Arbeiterg.u.Brandmayerg.)</t>
  </si>
  <si>
    <t>***  denns Taifun   japanische Bratfilets</t>
  </si>
  <si>
    <t>???$</t>
  </si>
  <si>
    <r>
      <t xml:space="preserve">***  denns </t>
    </r>
    <r>
      <rPr>
        <b/>
        <i/>
        <sz val="12"/>
        <color indexed="8"/>
        <rFont val="Arial"/>
        <family val="2"/>
      </rPr>
      <t>demeter</t>
    </r>
    <r>
      <rPr>
        <sz val="10"/>
        <color indexed="8"/>
        <rFont val="Arial"/>
        <family val="2"/>
      </rPr>
      <t xml:space="preserve"> DeRit "Brechbohnen"  700ml Glas</t>
    </r>
  </si>
  <si>
    <t>billa JaN Hochland Espresso (ganz) kbA</t>
  </si>
  <si>
    <t>m.asia  TRS   (76%Zw,Öl,Mehl,Salz) packed in EU</t>
  </si>
  <si>
    <t xml:space="preserve"> BB   ShiiTake  D</t>
  </si>
  <si>
    <t>Schlecker</t>
  </si>
  <si>
    <t>Ho</t>
  </si>
  <si>
    <t>2017-07</t>
  </si>
  <si>
    <t>2003-10</t>
  </si>
  <si>
    <t>**  hofer SoloComfort 10x180 (125g/Rolle)</t>
  </si>
  <si>
    <t>PAGRO  CR 1620</t>
  </si>
  <si>
    <t>BB  basic VK Spaghetti</t>
  </si>
  <si>
    <t>d   Davert</t>
  </si>
  <si>
    <t>WeinTrauben</t>
  </si>
  <si>
    <t xml:space="preserve"> ho  griechische Grüne m.K.  370ml Glas ~ok</t>
  </si>
  <si>
    <t>O</t>
  </si>
  <si>
    <t>N</t>
  </si>
  <si>
    <r>
      <t xml:space="preserve">***  hofer ZZU Mohnweckerl </t>
    </r>
    <r>
      <rPr>
        <b/>
        <sz val="10"/>
        <color indexed="17"/>
        <rFont val="Arial"/>
        <family val="2"/>
      </rPr>
      <t>vortag  3x80g</t>
    </r>
  </si>
  <si>
    <t>AMAZON JedenTag  Schältomaten 800g Dose</t>
  </si>
  <si>
    <t xml:space="preserve">BALSAMICO  </t>
  </si>
  <si>
    <t>lidl Acentino A.B.diModena  6%</t>
  </si>
  <si>
    <t>*  hofer NaturAktiv  Balsamico  6%</t>
  </si>
  <si>
    <t>2013-10</t>
  </si>
  <si>
    <t>Herkunft(sland)</t>
  </si>
  <si>
    <t xml:space="preserve">  merkur JaN  Österr.</t>
  </si>
  <si>
    <t>2006-07</t>
  </si>
  <si>
    <t>ECOVer flüssig</t>
  </si>
  <si>
    <t>d1, denns</t>
  </si>
  <si>
    <t>d2, denns</t>
  </si>
  <si>
    <t>d3, denns</t>
  </si>
  <si>
    <t>SPAR Fusilli/Penne integrale VK</t>
  </si>
  <si>
    <r>
      <t xml:space="preserve">***  BB  </t>
    </r>
    <r>
      <rPr>
        <b/>
        <i/>
        <sz val="12"/>
        <color indexed="22"/>
        <rFont val="Arial"/>
        <family val="2"/>
      </rPr>
      <t>demeter</t>
    </r>
    <r>
      <rPr>
        <sz val="10"/>
        <color indexed="22"/>
        <rFont val="Arial"/>
        <family val="2"/>
      </rPr>
      <t xml:space="preserve"> DeRit "Brechbohnen"  700ml Glas</t>
    </r>
  </si>
  <si>
    <t>hofer ZZU GALA Ö</t>
  </si>
  <si>
    <t>bis 3.8.</t>
  </si>
  <si>
    <t>** m.asia  maejin WONTON-Suppe (THAI)</t>
  </si>
  <si>
    <t>???240g</t>
  </si>
  <si>
    <t>Billa  Null,Josef Fl.</t>
  </si>
  <si>
    <r>
      <t xml:space="preserve">bbbbbrot   </t>
    </r>
    <r>
      <rPr>
        <b/>
        <sz val="16"/>
        <rFont val="Arial"/>
        <family val="2"/>
      </rPr>
      <t>BROT</t>
    </r>
  </si>
  <si>
    <t>Geschäft / Adresse</t>
  </si>
  <si>
    <t>2022-09</t>
  </si>
  <si>
    <t>Zahnzwischenraumbürstchen</t>
  </si>
  <si>
    <t>bipa TePe grün</t>
  </si>
  <si>
    <t>/100Stk</t>
  </si>
  <si>
    <t>Zahnpaste</t>
  </si>
  <si>
    <t>bipa Ajona</t>
  </si>
  <si>
    <r>
      <t xml:space="preserve">B JaN </t>
    </r>
    <r>
      <rPr>
        <b/>
        <sz val="10"/>
        <rFont val="Arial"/>
        <family val="2"/>
      </rPr>
      <t>APFELSAFT</t>
    </r>
    <r>
      <rPr>
        <sz val="10"/>
        <rFont val="Arial"/>
        <family val="2"/>
      </rPr>
      <t xml:space="preserve"> kbA milder Direktsaft TetraPack Ö</t>
    </r>
  </si>
  <si>
    <r>
      <t xml:space="preserve">***  BB Naturmühle </t>
    </r>
    <r>
      <rPr>
        <b/>
        <sz val="10"/>
        <color indexed="8"/>
        <rFont val="Arial"/>
        <family val="2"/>
      </rPr>
      <t>"FeelGood" Chili</t>
    </r>
    <r>
      <rPr>
        <sz val="10"/>
        <color indexed="8"/>
        <rFont val="Arial"/>
        <family val="2"/>
      </rPr>
      <t xml:space="preserve"> A</t>
    </r>
  </si>
  <si>
    <t>BB  Lebensbaum Hagebutte</t>
  </si>
  <si>
    <t>#BB  blau  Ö</t>
  </si>
  <si>
    <t>Erbsen</t>
  </si>
  <si>
    <t>#B13 sonnentor BÄRLAUCH geschnitten kbA RU</t>
  </si>
  <si>
    <t>Holleschek, N&amp;R, IX., Währingerstr. (/Exnerg., beim WUK)</t>
  </si>
  <si>
    <t>oft aus</t>
  </si>
  <si>
    <t>BB Lebensbaum FENCHEL-Tee (ganz)</t>
  </si>
  <si>
    <r>
      <t xml:space="preserve">BB  Butternut  </t>
    </r>
    <r>
      <rPr>
        <b/>
        <i/>
        <sz val="11"/>
        <color indexed="22"/>
        <rFont val="Arial"/>
        <family val="2"/>
      </rPr>
      <t>demeter</t>
    </r>
    <r>
      <rPr>
        <b/>
        <sz val="10"/>
        <color indexed="22"/>
        <rFont val="Arial"/>
        <family val="2"/>
      </rPr>
      <t xml:space="preserve">  It</t>
    </r>
  </si>
  <si>
    <r>
      <t xml:space="preserve">SPAR Evergreen </t>
    </r>
    <r>
      <rPr>
        <b/>
        <sz val="10"/>
        <color indexed="14"/>
        <rFont val="Arial"/>
        <family val="2"/>
      </rPr>
      <t>wässrig</t>
    </r>
  </si>
  <si>
    <t>*****   ho ZuckerM Cantaloupe</t>
  </si>
  <si>
    <r>
      <t xml:space="preserve">***  B JaN </t>
    </r>
    <r>
      <rPr>
        <b/>
        <sz val="10"/>
        <color indexed="16"/>
        <rFont val="Arial"/>
        <family val="2"/>
      </rPr>
      <t>Datteln</t>
    </r>
    <r>
      <rPr>
        <sz val="10"/>
        <color indexed="16"/>
        <rFont val="Arial"/>
        <family val="2"/>
      </rPr>
      <t xml:space="preserve">  200g m.K.</t>
    </r>
  </si>
  <si>
    <t>BATTERIEN  alkaline  1.5V</t>
  </si>
  <si>
    <r>
      <t xml:space="preserve">#BB spielberger </t>
    </r>
    <r>
      <rPr>
        <b/>
        <i/>
        <sz val="12"/>
        <color indexed="17"/>
        <rFont val="Arial"/>
        <family val="2"/>
      </rPr>
      <t>demeter</t>
    </r>
  </si>
  <si>
    <t>2013-07</t>
  </si>
  <si>
    <t>***  BB Alber  Shiitake  (275ml Glas)</t>
  </si>
  <si>
    <t>ZUCKER plus SACCHARIN !!</t>
  </si>
  <si>
    <t>BB  Hokkaido  Ö</t>
  </si>
  <si>
    <t>BB  Butternut  Ö</t>
  </si>
  <si>
    <r>
      <t xml:space="preserve">IKEA ""sparsam"" </t>
    </r>
    <r>
      <rPr>
        <sz val="10"/>
        <color indexed="14"/>
        <rFont val="Arial"/>
        <family val="2"/>
      </rPr>
      <t xml:space="preserve">diverse E14 </t>
    </r>
    <r>
      <rPr>
        <b/>
        <sz val="10"/>
        <color indexed="10"/>
        <rFont val="Arial"/>
        <family val="2"/>
      </rPr>
      <t>"kerzenform"</t>
    </r>
    <r>
      <rPr>
        <sz val="10"/>
        <color indexed="14"/>
        <rFont val="Arial"/>
        <family val="2"/>
      </rPr>
      <t xml:space="preserve"> "10000h"</t>
    </r>
  </si>
  <si>
    <t>##T - SojVita natur</t>
  </si>
  <si>
    <t>sc3  A&amp;G  11W==55W</t>
  </si>
  <si>
    <t xml:space="preserve">Bi bio </t>
  </si>
  <si>
    <t xml:space="preserve">**  ILM batonetes HARE KRISHNA Musk </t>
  </si>
  <si>
    <t>**  ILM batonetes  Santal,Patchouli</t>
  </si>
  <si>
    <r>
      <t xml:space="preserve">B13 spielberger </t>
    </r>
    <r>
      <rPr>
        <b/>
        <i/>
        <sz val="12"/>
        <color indexed="8"/>
        <rFont val="Arial"/>
        <family val="2"/>
      </rPr>
      <t xml:space="preserve">demeter </t>
    </r>
  </si>
  <si>
    <r>
      <t xml:space="preserve">-   Bi </t>
    </r>
    <r>
      <rPr>
        <sz val="10"/>
        <color indexed="14"/>
        <rFont val="Arial"/>
        <family val="2"/>
      </rPr>
      <t>JaN Sugo</t>
    </r>
    <r>
      <rPr>
        <sz val="10"/>
        <color indexed="8"/>
        <rFont val="Arial"/>
        <family val="2"/>
      </rPr>
      <t xml:space="preserve"> Arrabbiata</t>
    </r>
  </si>
  <si>
    <t xml:space="preserve">QB </t>
  </si>
  <si>
    <t xml:space="preserve"> 1 pkg a 12 stk</t>
  </si>
  <si>
    <t>ZAHNPASTA</t>
  </si>
  <si>
    <t>ho dentofit</t>
  </si>
  <si>
    <t>lidl  BIO Navel Orangen It</t>
  </si>
  <si>
    <t>#d Naturmühle "FeelGood" Basilikum A</t>
  </si>
  <si>
    <t>kaufpunkt  Reinprechtsdorferstr/Arbeitergasse</t>
  </si>
  <si>
    <t>BB ilNutrimento-Hülsenfrüchte-MIX  400g Dose It</t>
  </si>
  <si>
    <t>denns  Nestelberger Polenta</t>
  </si>
  <si>
    <t>E1 BAKTAT Mais geröstet</t>
  </si>
  <si>
    <t>D</t>
  </si>
  <si>
    <t>DEUTSCHLAND</t>
  </si>
  <si>
    <t>2009-06</t>
  </si>
  <si>
    <t>dm  RT</t>
  </si>
  <si>
    <t>2017-11</t>
  </si>
  <si>
    <t>SLOwakei</t>
  </si>
  <si>
    <t>TUNesien</t>
  </si>
  <si>
    <t>m.asia</t>
  </si>
  <si>
    <t>lidl Freshona "dreifach" It</t>
  </si>
  <si>
    <t>Bio-Trio -20%</t>
  </si>
  <si>
    <t>SCHOKOBANANEN</t>
  </si>
  <si>
    <t>Penny</t>
  </si>
  <si>
    <t>2019-08</t>
  </si>
  <si>
    <t>Casali doubleChoc</t>
  </si>
  <si>
    <t>Casali original</t>
  </si>
  <si>
    <t>m.asia elephants bamboo shoots (dose)(THAI)</t>
  </si>
  <si>
    <t>#T SojVita SojaGriller pikant</t>
  </si>
  <si>
    <t>**  m.asia  maejin TOM NAM  (SAUER-SCHARFE) Suppe (THAI)</t>
  </si>
  <si>
    <t>SAM</t>
  </si>
  <si>
    <t>m.asia  RoyalThai   (76%Zw,Öl,Mehl,Salz) THAI</t>
  </si>
  <si>
    <t>***  V-RB   COSMOVEDA  premium    SRL</t>
  </si>
  <si>
    <t>sc4  3x9+21+40</t>
  </si>
  <si>
    <t>T Vollkraft kbA (PET)</t>
  </si>
  <si>
    <t>***  ho PureFruit Apfelsaft DIREKT(naturtrüb</t>
  </si>
  <si>
    <t xml:space="preserve">az Sevenhills bio KakaoNIBS </t>
  </si>
  <si>
    <t>2004-11</t>
  </si>
  <si>
    <t>2016-06</t>
  </si>
  <si>
    <t>T  bioVerde  VEGAN CILANTRO/Koriander-Pesto</t>
  </si>
  <si>
    <t>2019-07</t>
  </si>
  <si>
    <t>$1  Farbige(gelb/rot) 2x21g</t>
  </si>
  <si>
    <r>
      <t xml:space="preserve">T sonnentor SENCHA kbA </t>
    </r>
    <r>
      <rPr>
        <b/>
        <sz val="10"/>
        <color indexed="14"/>
        <rFont val="Arial"/>
        <family val="2"/>
      </rPr>
      <t>China</t>
    </r>
  </si>
  <si>
    <t>***  #Bi JaN  NEU</t>
  </si>
  <si>
    <t>B JaN APFELSAFT kbA milder Direktsaft TetraPack Ö</t>
  </si>
  <si>
    <t>BB Rapunzel DOLMAS</t>
  </si>
  <si>
    <t>C</t>
  </si>
  <si>
    <t>E/Stk</t>
  </si>
  <si>
    <t>Ö  oder  A</t>
  </si>
  <si>
    <t>T Lebensbaum  KERBEL</t>
  </si>
  <si>
    <t>Bio(super)markt, 1040, Wiedner Hauptstr. 71</t>
  </si>
  <si>
    <t>**  ##T SojVita SeitanSchnitzelbio Natur</t>
  </si>
  <si>
    <t>BB-ilnutrimento  fagioli *</t>
  </si>
  <si>
    <t>BB-ilnutrimento  ceci</t>
  </si>
  <si>
    <t>/abtropfg.</t>
  </si>
  <si>
    <t>T Vollwert kbA aus A</t>
  </si>
  <si>
    <t>E2  (dvd.rc) CR 2025</t>
  </si>
  <si>
    <t>ho  Clementinen</t>
  </si>
  <si>
    <t>ho Semmeln (10 Stk)</t>
  </si>
  <si>
    <t>##T  EDEN  D</t>
  </si>
  <si>
    <t>#denns Suesskartoffeln ??</t>
  </si>
  <si>
    <t xml:space="preserve">ho Gala&gt;IdaRed&gt;&gt;Grüne </t>
  </si>
  <si>
    <t>lidl grüne</t>
  </si>
  <si>
    <r>
      <t xml:space="preserve">BB  Taifun  </t>
    </r>
    <r>
      <rPr>
        <b/>
        <i/>
        <sz val="11"/>
        <color indexed="55"/>
        <rFont val="Arial"/>
        <family val="2"/>
      </rPr>
      <t>demeter</t>
    </r>
    <r>
      <rPr>
        <sz val="10"/>
        <color indexed="55"/>
        <rFont val="Arial"/>
        <family val="2"/>
      </rPr>
      <t xml:space="preserve">  Thai-Sticks</t>
    </r>
  </si>
  <si>
    <t xml:space="preserve">###T Govinda  kbA  N-EU </t>
  </si>
  <si>
    <t>SC4  VIVA "OutdoorSocken"  W40+AC30+PE20</t>
  </si>
  <si>
    <t xml:space="preserve">  *** m.asia  Shiitake  C</t>
  </si>
  <si>
    <t>2022-10</t>
  </si>
  <si>
    <t>***  ho  ZZU "Raritäten"    Ö</t>
  </si>
  <si>
    <r>
      <t>ho  ZZU klein|</t>
    </r>
    <r>
      <rPr>
        <sz val="10"/>
        <color indexed="17"/>
        <rFont val="Arial"/>
        <family val="2"/>
      </rPr>
      <t>groß</t>
    </r>
    <r>
      <rPr>
        <b/>
        <sz val="10"/>
        <color indexed="17"/>
        <rFont val="Arial"/>
        <family val="2"/>
      </rPr>
      <t xml:space="preserve"> Ö</t>
    </r>
  </si>
  <si>
    <t>hofer Grandessa Stracciatella</t>
  </si>
  <si>
    <t>T Alber  Mix (Stroh-P+Chin.Stockschw.) (275ml Glas)</t>
  </si>
  <si>
    <t>rot=teuer</t>
  </si>
  <si>
    <t>X., Pernerstorfergasse 31</t>
  </si>
  <si>
    <t>dm  alnatura  RT  Ö/D</t>
  </si>
  <si>
    <t>ÖFFNUNGSZEITEN</t>
  </si>
  <si>
    <t>MTS-shop  emtec</t>
  </si>
  <si>
    <t>Türkei</t>
  </si>
  <si>
    <t>www.lebensfreundlich.at</t>
  </si>
  <si>
    <t>TMT24(az) Platinum</t>
  </si>
  <si>
    <t>***   denns  Hess grün/länglich dünschalig  ES</t>
  </si>
  <si>
    <t>m.asia super J bamboo shoots (dose)(THAI)</t>
  </si>
  <si>
    <t>2010-01</t>
  </si>
  <si>
    <r>
      <t xml:space="preserve">rreis    </t>
    </r>
    <r>
      <rPr>
        <b/>
        <sz val="12"/>
        <rFont val="Arial"/>
        <family val="2"/>
      </rPr>
      <t>REIS</t>
    </r>
  </si>
  <si>
    <t>hofer  HappyHarvest  800g Dose</t>
  </si>
  <si>
    <t xml:space="preserve"> --   BB Cha…  It</t>
  </si>
  <si>
    <t>MUNG-BOHNEN  (gruene Sojabohnen)</t>
  </si>
  <si>
    <t>Ca/Na-EDTA</t>
  </si>
  <si>
    <r>
      <t xml:space="preserve">hofer  </t>
    </r>
    <r>
      <rPr>
        <b/>
        <sz val="10"/>
        <color indexed="14"/>
        <rFont val="Arial"/>
        <family val="2"/>
      </rPr>
      <t>bella</t>
    </r>
    <r>
      <rPr>
        <b/>
        <sz val="10"/>
        <color indexed="48"/>
        <rFont val="Arial"/>
        <family val="2"/>
      </rPr>
      <t xml:space="preserve">  40%</t>
    </r>
  </si>
  <si>
    <t>*** hofer ZZU BackBox  Dinkelvollkornbrot</t>
  </si>
  <si>
    <t>EG15</t>
  </si>
  <si>
    <t>EG15   XClou  "11W=50W"</t>
  </si>
  <si>
    <t>***  PM</t>
  </si>
  <si>
    <t>##T  Neumarkter Lammsbräu  Fl (+15c)</t>
  </si>
  <si>
    <t>#denns Chinakohl  Esp</t>
  </si>
  <si>
    <t>KÜRBISKERNÖL</t>
  </si>
  <si>
    <t>BB dennree (22%Tube ) D</t>
  </si>
  <si>
    <t>BB  KokosNuss ganz  SRL</t>
  </si>
  <si>
    <t>SRL</t>
  </si>
  <si>
    <r>
      <t xml:space="preserve">***   m.asia </t>
    </r>
    <r>
      <rPr>
        <b/>
        <sz val="10"/>
        <color indexed="16"/>
        <rFont val="Arial"/>
        <family val="2"/>
      </rPr>
      <t xml:space="preserve">Vaijaythree </t>
    </r>
    <r>
      <rPr>
        <sz val="10"/>
        <color indexed="16"/>
        <rFont val="Arial"/>
        <family val="2"/>
      </rPr>
      <t xml:space="preserve">golden Meditation NAG CHAMPA </t>
    </r>
  </si>
  <si>
    <t>denns   bio KLETZENBROT</t>
  </si>
  <si>
    <r>
      <t xml:space="preserve">***  BB Naturmühle </t>
    </r>
    <r>
      <rPr>
        <b/>
        <sz val="10"/>
        <color indexed="55"/>
        <rFont val="Arial"/>
        <family val="2"/>
      </rPr>
      <t>"FeelGood" Chili</t>
    </r>
    <r>
      <rPr>
        <sz val="10"/>
        <color indexed="55"/>
        <rFont val="Arial"/>
        <family val="2"/>
      </rPr>
      <t xml:space="preserve"> A</t>
    </r>
  </si>
  <si>
    <t>AMAZON/AlNatura nichtVK Linguine "No13"</t>
  </si>
  <si>
    <t>BRU dennree (22%) kbA Tube  It</t>
  </si>
  <si>
    <t>denns  dennree</t>
  </si>
  <si>
    <t>AZ: Sevenhills roh</t>
  </si>
  <si>
    <r>
      <t xml:space="preserve">T  viana  </t>
    </r>
    <r>
      <rPr>
        <b/>
        <sz val="10"/>
        <rFont val="Arial"/>
        <family val="2"/>
      </rPr>
      <t xml:space="preserve">VEGGIE HACK </t>
    </r>
    <r>
      <rPr>
        <sz val="10"/>
        <rFont val="Arial"/>
        <family val="2"/>
      </rPr>
      <t>kbA</t>
    </r>
  </si>
  <si>
    <t>12:AUS</t>
  </si>
  <si>
    <t>***  ILM batonetes Jasmin,Rose</t>
  </si>
  <si>
    <t>Chili-Sauce, PfefferSauce</t>
  </si>
  <si>
    <t>2019-11</t>
  </si>
  <si>
    <t>MA Crystal HotSauce</t>
  </si>
  <si>
    <t>/l</t>
  </si>
  <si>
    <t>ISOPROPANOL</t>
  </si>
  <si>
    <t>Az/WaldoClean iProp 99% 2x1l</t>
  </si>
  <si>
    <t>lidl Freshona bio Sonnenmais 300g dose</t>
  </si>
  <si>
    <t>***  ho  WASA  Roggen</t>
  </si>
  <si>
    <t>***  lidl  WASA  Roggen</t>
  </si>
  <si>
    <t>##T Sonnentor bio KORIANDER Samen ganz Ö</t>
  </si>
  <si>
    <r>
      <t xml:space="preserve">##T Sonnentor </t>
    </r>
    <r>
      <rPr>
        <b/>
        <i/>
        <sz val="12"/>
        <rFont val="Arial"/>
        <family val="2"/>
      </rPr>
      <t>demeter</t>
    </r>
    <r>
      <rPr>
        <b/>
        <sz val="12"/>
        <rFont val="Arial"/>
        <family val="2"/>
      </rPr>
      <t xml:space="preserve"> K.Samen gemahlen Ö</t>
    </r>
  </si>
  <si>
    <t>##T Sonnentor? Kurkuma=Gelbwurz IND</t>
  </si>
  <si>
    <t>B13 Lima</t>
  </si>
  <si>
    <r>
      <t xml:space="preserve">BB spielberger </t>
    </r>
    <r>
      <rPr>
        <b/>
        <sz val="11"/>
        <color indexed="55"/>
        <rFont val="Arial"/>
        <family val="2"/>
      </rPr>
      <t>demeter</t>
    </r>
    <r>
      <rPr>
        <sz val="10"/>
        <color indexed="55"/>
        <rFont val="Arial"/>
        <family val="2"/>
      </rPr>
      <t xml:space="preserve"> Sojaflocken  D</t>
    </r>
  </si>
  <si>
    <t>Diacetyl   "ButterAroma"</t>
  </si>
  <si>
    <t xml:space="preserve">EuroShop BestPreisMarkt, X., Troststrasse 71 </t>
  </si>
  <si>
    <t>hofer  alkaline 9V-block</t>
  </si>
  <si>
    <r>
      <t xml:space="preserve">##T sonnentor </t>
    </r>
    <r>
      <rPr>
        <sz val="12"/>
        <color indexed="14"/>
        <rFont val="Arial"/>
        <family val="2"/>
      </rPr>
      <t>demeter</t>
    </r>
    <r>
      <rPr>
        <sz val="12"/>
        <rFont val="Arial"/>
        <family val="2"/>
      </rPr>
      <t xml:space="preserve"> OREGANO</t>
    </r>
  </si>
  <si>
    <t>#B13 Rapunzel</t>
  </si>
  <si>
    <t>m.asia orients delight SAFRAN (Blüten) (PHIL)</t>
  </si>
  <si>
    <t>merkur www.mio.be SOJA Vanille    1l==550g</t>
  </si>
  <si>
    <t>NM</t>
  </si>
  <si>
    <t>AMAZON-Diamond  B.shoots SCHEIBEN (540g dose)(THAI)</t>
  </si>
  <si>
    <t>billa JaN Hochland (gemahlen)  kbA</t>
  </si>
  <si>
    <t>hofer NATURaktiv bio</t>
  </si>
  <si>
    <t>Lidl ECE  ??</t>
  </si>
  <si>
    <t>PM ECE  800g Dose It</t>
  </si>
  <si>
    <r>
      <t xml:space="preserve">BB  </t>
    </r>
    <r>
      <rPr>
        <sz val="12"/>
        <color indexed="8"/>
        <rFont val="Arial"/>
        <family val="2"/>
      </rPr>
      <t>demeter</t>
    </r>
    <r>
      <rPr>
        <sz val="12"/>
        <color indexed="8"/>
        <rFont val="Arial"/>
        <family val="2"/>
      </rPr>
      <t xml:space="preserve"> Sonnentor extrascharf ESP</t>
    </r>
  </si>
  <si>
    <t>***  BB blaue kernarm It</t>
  </si>
  <si>
    <t>AUS-08</t>
  </si>
  <si>
    <t>Pasta Nocciola Scura</t>
  </si>
  <si>
    <t>dumpstered</t>
  </si>
  <si>
    <t>BRAUSETABLETTEN</t>
  </si>
  <si>
    <r>
      <t xml:space="preserve">PM  </t>
    </r>
    <r>
      <rPr>
        <sz val="10"/>
        <color indexed="14"/>
        <rFont val="Arial"/>
        <family val="2"/>
      </rPr>
      <t>V., Spengergasse   KEIN BRAUCHBARES</t>
    </r>
  </si>
  <si>
    <t>Mo-Fr 10-18(?30)  Sa …</t>
  </si>
  <si>
    <t>Az/Bleichhof PINOVA</t>
  </si>
  <si>
    <t xml:space="preserve">SPAR  BIO </t>
  </si>
  <si>
    <t>/ Stk.</t>
  </si>
  <si>
    <t>** 'billa  "BioK" Aufstriche</t>
  </si>
  <si>
    <t>Wasserkastanien</t>
  </si>
  <si>
    <t>?xxx   $1platz  top\write 5x9g</t>
  </si>
  <si>
    <t>***   d2 SojVita bio Spezial</t>
  </si>
  <si>
    <t>***  T Lima</t>
  </si>
  <si>
    <t>2017-12</t>
  </si>
  <si>
    <t>hofer RöstKaffe ganz</t>
  </si>
  <si>
    <r>
      <t>EG69 Stylex (rotePfeile) 6*10m*</t>
    </r>
    <r>
      <rPr>
        <b/>
        <sz val="10"/>
        <color indexed="10"/>
        <rFont val="Arial"/>
        <family val="2"/>
      </rPr>
      <t>12</t>
    </r>
    <r>
      <rPr>
        <b/>
        <sz val="10"/>
        <color indexed="8"/>
        <rFont val="Arial"/>
        <family val="2"/>
      </rPr>
      <t>mm</t>
    </r>
  </si>
  <si>
    <t>Mo-Fr 7:30-19 + Sa 7-20  (?)</t>
  </si>
  <si>
    <t>Spar  Ö</t>
  </si>
  <si>
    <t>ÄGY</t>
  </si>
  <si>
    <t>ÄGYpten</t>
  </si>
  <si>
    <t>denns  9cm</t>
  </si>
  <si>
    <t>QB</t>
  </si>
  <si>
    <t>(-)  schmeckt nicht</t>
  </si>
  <si>
    <t>rot:  teu(r)er</t>
  </si>
  <si>
    <t xml:space="preserve"> O  h n e</t>
  </si>
  <si>
    <t xml:space="preserve"> N  a c h z u d e n k e n</t>
  </si>
  <si>
    <t xml:space="preserve"> S  i n n l o s</t>
  </si>
  <si>
    <t xml:space="preserve">1l </t>
  </si>
  <si>
    <t>-25-10%</t>
  </si>
  <si>
    <t>Spar ESP</t>
  </si>
  <si>
    <t>amazon-AlnaturA  Räuchertofu 6x200g</t>
  </si>
  <si>
    <t>hofer Choceur noir Frucht Venezela 55%</t>
  </si>
  <si>
    <t>V., Einsiedlerplatz 9</t>
  </si>
  <si>
    <t>d2  dennree daily ""5,79""</t>
  </si>
  <si>
    <t>d2   dennree espresso</t>
  </si>
  <si>
    <t>AMAZON-Dittmann gr.O.m.Paprikapaste plastik</t>
  </si>
  <si>
    <t>AMAZON-Dittmann gr.O.m.Kern</t>
  </si>
  <si>
    <t xml:space="preserve">merkur:   ITAL. aber als Ö angeschrieben !!!  </t>
  </si>
  <si>
    <r>
      <t xml:space="preserve"> TTMMTMTOMMMTMTMTM   </t>
    </r>
    <r>
      <rPr>
        <b/>
        <sz val="12"/>
        <rFont val="Arial"/>
        <family val="2"/>
      </rPr>
      <t>TOMATENMARK</t>
    </r>
  </si>
  <si>
    <r>
      <t xml:space="preserve">bbärlauch   </t>
    </r>
    <r>
      <rPr>
        <b/>
        <sz val="12"/>
        <rFont val="Arial"/>
        <family val="2"/>
      </rPr>
      <t>PESTO  u.ä. ...</t>
    </r>
  </si>
  <si>
    <t>Billa bioShiiTake  D</t>
  </si>
  <si>
    <t>E pro l</t>
  </si>
  <si>
    <r>
      <t xml:space="preserve">*** B13 Erhardt </t>
    </r>
    <r>
      <rPr>
        <i/>
        <sz val="12"/>
        <color indexed="8"/>
        <rFont val="Arial"/>
        <family val="2"/>
      </rPr>
      <t>demeter</t>
    </r>
    <r>
      <rPr>
        <sz val="11"/>
        <color indexed="8"/>
        <rFont val="Arial"/>
        <family val="2"/>
      </rPr>
      <t xml:space="preserve"> MEERRETTICH glas</t>
    </r>
  </si>
  <si>
    <r>
      <t xml:space="preserve"> ###T Sonenntor </t>
    </r>
    <r>
      <rPr>
        <b/>
        <sz val="12"/>
        <color indexed="17"/>
        <rFont val="Arial"/>
        <family val="2"/>
      </rPr>
      <t>BOCKSHORNKLEE</t>
    </r>
    <r>
      <rPr>
        <sz val="12"/>
        <color indexed="17"/>
        <rFont val="Arial"/>
        <family val="2"/>
      </rPr>
      <t xml:space="preserve">  gemahlen kbA HU</t>
    </r>
  </si>
  <si>
    <t>T Sonnentor  GALGANT gemahlen INDO</t>
  </si>
  <si>
    <t>##T Sonnentor FENCHEL  ganz Ö?</t>
  </si>
  <si>
    <r>
      <t xml:space="preserve">##T </t>
    </r>
    <r>
      <rPr>
        <i/>
        <sz val="12"/>
        <color indexed="55"/>
        <rFont val="Arial"/>
        <family val="2"/>
      </rPr>
      <t>VollKraft Apfelessig 5%</t>
    </r>
  </si>
  <si>
    <t>###T  DrGoerg kbA   ??</t>
  </si>
  <si>
    <t>**  B xxx gefüllte Weinblätter   400ml-Dose</t>
  </si>
  <si>
    <t>***  Bi JaN  NEU</t>
  </si>
  <si>
    <t>-25%-10%</t>
  </si>
  <si>
    <t>2016-07</t>
  </si>
  <si>
    <t>d  SojVita  geräuchert</t>
  </si>
  <si>
    <t>OBI</t>
  </si>
  <si>
    <t>T  Sonnetor Korianderkraut kbA Ö/BCS</t>
  </si>
  <si>
    <t>keines</t>
  </si>
  <si>
    <t>**   #ho  weiss  It</t>
  </si>
  <si>
    <t>***   #ho  blau</t>
  </si>
  <si>
    <r>
      <t xml:space="preserve">hofer NaturPur </t>
    </r>
    <r>
      <rPr>
        <b/>
        <sz val="10"/>
        <rFont val="Arial"/>
        <family val="2"/>
      </rPr>
      <t>bio Laugenstangerl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 xml:space="preserve"> (H, zum FertigBacken)</t>
    </r>
  </si>
  <si>
    <t>spar  SPAR  Ö</t>
  </si>
  <si>
    <t>@  0.51 g/ml</t>
  </si>
  <si>
    <t>##T  Rapunzel  Erdnussmus crunchy  -50%</t>
  </si>
  <si>
    <t>2014-03</t>
  </si>
  <si>
    <r>
      <t>foto-video.at</t>
    </r>
    <r>
      <rPr>
        <b/>
        <sz val="10"/>
        <rFont val="Arial"/>
        <family val="2"/>
      </rPr>
      <t>-- BCI-24-YMC cpt. DruckMich 16,5 ml(?)</t>
    </r>
  </si>
  <si>
    <t>F-V.at</t>
  </si>
  <si>
    <t>2011-10</t>
  </si>
  <si>
    <t>2006-10</t>
  </si>
  <si>
    <t>**  ho korngold Semmelwürfel</t>
  </si>
  <si>
    <t>merkur xxxx MU-ER</t>
  </si>
  <si>
    <t>2006-11</t>
  </si>
  <si>
    <t>"1l=500g"(?)</t>
  </si>
  <si>
    <t>?400?</t>
  </si>
  <si>
    <t>merkur  philips  E27  25W</t>
  </si>
  <si>
    <t>Türk-1  ECE   hell</t>
  </si>
  <si>
    <t>Türk-1</t>
  </si>
  <si>
    <t>d Zwergenwiese Zwenf Delikatess Tube</t>
  </si>
  <si>
    <t>Coop (geschäft=automat)  Schlauch</t>
  </si>
  <si>
    <r>
      <t xml:space="preserve"> */-  B13 </t>
    </r>
    <r>
      <rPr>
        <b/>
        <i/>
        <sz val="12"/>
        <color indexed="17"/>
        <rFont val="Arial"/>
        <family val="2"/>
      </rPr>
      <t>demeter</t>
    </r>
    <r>
      <rPr>
        <sz val="10"/>
        <color indexed="17"/>
        <rFont val="Arial"/>
        <family val="2"/>
      </rPr>
      <t xml:space="preserve"> DeRit </t>
    </r>
    <r>
      <rPr>
        <sz val="10"/>
        <color indexed="14"/>
        <rFont val="Arial"/>
        <family val="2"/>
      </rPr>
      <t>Erbsen</t>
    </r>
    <r>
      <rPr>
        <sz val="10"/>
        <color indexed="17"/>
        <rFont val="Arial"/>
        <family val="2"/>
      </rPr>
      <t xml:space="preserve"> ?700ml Glas</t>
    </r>
  </si>
  <si>
    <r>
      <t>ssss</t>
    </r>
    <r>
      <rPr>
        <b/>
        <sz val="12"/>
        <color indexed="8"/>
        <rFont val="Arial"/>
        <family val="2"/>
      </rPr>
      <t>SCHNITTLAUCH</t>
    </r>
  </si>
  <si>
    <t>2021-08</t>
  </si>
  <si>
    <t>amazon-Eder 1kg</t>
  </si>
  <si>
    <t>**  hofer ZZU DinkelVollkorn  Ö</t>
  </si>
  <si>
    <t>2005-08</t>
  </si>
  <si>
    <t>TOMATEN  Ö</t>
  </si>
  <si>
    <t>*** hofer JoghurtMarillenKuchen</t>
  </si>
  <si>
    <t>Keine Angabe !</t>
  </si>
  <si>
    <t xml:space="preserve">BB  Rapunzel  Erdnussmus crunchy  </t>
  </si>
  <si>
    <t>Tonershop  BCI-24-color compatible  3*5 ml</t>
  </si>
  <si>
    <r>
      <t xml:space="preserve">***  m.asia  ORKAY </t>
    </r>
    <r>
      <rPr>
        <b/>
        <sz val="10"/>
        <color indexed="22"/>
        <rFont val="Arial"/>
        <family val="2"/>
      </rPr>
      <t>STRAWBERRY (19Stk)</t>
    </r>
  </si>
  <si>
    <r>
      <t>MEM MEM mmmm</t>
    </r>
    <r>
      <rPr>
        <b/>
        <sz val="12"/>
        <color indexed="8"/>
        <rFont val="Arial"/>
        <family val="2"/>
      </rPr>
      <t>MANDELMEHL</t>
    </r>
  </si>
  <si>
    <t>KICHERERBSEN getrocknet</t>
  </si>
  <si>
    <t>AMAZON-Alnatura  Pastete m.grünemPfeffer vegan</t>
  </si>
  <si>
    <t>AMAZON-Alnatura Champignon Pastete vegan</t>
  </si>
  <si>
    <t>AMAZON-Alnatura Shiitake Pastete vegan</t>
  </si>
  <si>
    <t>AMAZON-Diamond 540 g dose</t>
  </si>
  <si>
    <t>*** AMAZON-JedenTag Linsen+Suppengrün</t>
  </si>
  <si>
    <t xml:space="preserve">AMAZON-JedenTag </t>
  </si>
  <si>
    <t xml:space="preserve">AMAZON-Alnatura </t>
  </si>
  <si>
    <t>AMAZON-ecoterra</t>
  </si>
  <si>
    <t xml:space="preserve">AMAZON-Natura </t>
  </si>
  <si>
    <t>AMAZON-JdenTag zweifach 140g dose</t>
  </si>
  <si>
    <t>AMAZON-JdenTag zweifach 70g dose</t>
  </si>
  <si>
    <t>AMAZON-Alnatura Bio Apfelessig</t>
  </si>
  <si>
    <t>AMAZON-Beutelsbacher Bio Apfelessig demeter</t>
  </si>
  <si>
    <t>AMAZON-Kattus schwarze OlivenScheiben 345ml Glas ~ok</t>
  </si>
  <si>
    <t xml:space="preserve">AMAZON- Birkengold Edelbitter zuckerfrei Xylit FT  85%  </t>
  </si>
  <si>
    <t xml:space="preserve">AMAZON- Raab Vitalfood Stevia-Extrakt,  </t>
  </si>
  <si>
    <t xml:space="preserve">AMAZON-Naturix24  3.4% </t>
  </si>
  <si>
    <t xml:space="preserve">AMAZON-Talea  Sinfo bio  3.4% </t>
  </si>
  <si>
    <t>AMAZON-JedenTag (m.SoBluÖl)</t>
  </si>
  <si>
    <t>AMAZON-Ruschon bio Hatcho</t>
  </si>
  <si>
    <t>AMAZON-/Yutaka  Wakame</t>
  </si>
  <si>
    <t>AMAZON-JedenTag ganze Knöpfe 400g Dose</t>
  </si>
  <si>
    <t>2022-05</t>
  </si>
  <si>
    <t>AMAZON Reine de  Dijon  2*3 glas</t>
  </si>
  <si>
    <t>BB      680g</t>
  </si>
  <si>
    <t>Stücklberger, SODASAN Wolle/fein</t>
  </si>
  <si>
    <r>
      <t xml:space="preserve">TKTKK   </t>
    </r>
    <r>
      <rPr>
        <b/>
        <sz val="12"/>
        <color indexed="8"/>
        <rFont val="Arial"/>
        <family val="2"/>
      </rPr>
      <t>TIEFKÜHL-KRÄUTER</t>
    </r>
  </si>
  <si>
    <t>(?)</t>
  </si>
  <si>
    <t>SAFTLADEN:  NUR JUNK</t>
  </si>
  <si>
    <t>(-)   PML Wassermelone klein, kernarm ?</t>
  </si>
  <si>
    <t>m.asia  CHAOKOH green JACKFRUIT in Salzwasser (THAI)</t>
  </si>
  <si>
    <t>***  hofer ZZU Weizenkrusterl  Ö</t>
  </si>
  <si>
    <t>$1</t>
  </si>
  <si>
    <t>AMAZON   Naturix24</t>
  </si>
  <si>
    <t>hofer wellactive  Mg (200 mg)</t>
  </si>
  <si>
    <r>
      <t>HOKKAIDO|BUTTERNUT</t>
    </r>
    <r>
      <rPr>
        <b/>
        <sz val="12"/>
        <color indexed="8"/>
        <rFont val="Arial"/>
        <family val="2"/>
      </rPr>
      <t xml:space="preserve"> KÜRBIS</t>
    </r>
  </si>
  <si>
    <t>$1  alkaline 1 oder 2(!) Stk.</t>
  </si>
  <si>
    <t>T  9cm</t>
  </si>
  <si>
    <t>ca.</t>
  </si>
  <si>
    <r>
      <t>Plastik</t>
    </r>
    <r>
      <rPr>
        <sz val="10"/>
        <rFont val="Arial"/>
        <family val="2"/>
      </rPr>
      <t xml:space="preserve"> in % vom Nettoinhalt</t>
    </r>
  </si>
  <si>
    <t>***  ##T  A.B.diModena Il Torrione bio  6%</t>
  </si>
  <si>
    <t>UV  Baby  1.2V * 2.9 Ah</t>
  </si>
  <si>
    <t>**  denns Roggen VK</t>
  </si>
  <si>
    <t>billa WilliamsChrist  Ö</t>
  </si>
  <si>
    <t>denns SojVita mildsüß kbA</t>
  </si>
  <si>
    <t>MA</t>
  </si>
  <si>
    <t>B13 sonnentor SCHNITTLAUCH Röll.gesch. kbA CZ</t>
  </si>
  <si>
    <t>BB Lebensbaum  KERBEL D</t>
  </si>
  <si>
    <t>2004-09</t>
  </si>
  <si>
    <t>** B13  viana  TOFU-GEMÜSESCHNITZERL kbA</t>
  </si>
  <si>
    <t>**  B,merkur iliada gefüllte Weinblätter   400ml-Dose</t>
  </si>
  <si>
    <t>AUFSTRICHE(Pasteten)</t>
  </si>
  <si>
    <t>2005-04</t>
  </si>
  <si>
    <t>1g Guarana:  ~30 mg C</t>
  </si>
  <si>
    <t>10 c</t>
  </si>
  <si>
    <t>1 Kanne Tee:  ~80 mg C</t>
  </si>
  <si>
    <t xml:space="preserve"> 8 c</t>
  </si>
  <si>
    <r>
      <t xml:space="preserve">T </t>
    </r>
    <r>
      <rPr>
        <b/>
        <i/>
        <sz val="12"/>
        <color indexed="10"/>
        <rFont val="Arial"/>
        <family val="2"/>
      </rPr>
      <t>demeter</t>
    </r>
    <r>
      <rPr>
        <sz val="10"/>
        <color indexed="10"/>
        <rFont val="Arial"/>
        <family val="2"/>
      </rPr>
      <t xml:space="preserve"> DeRit "Brechbohnen"  370ml Glas</t>
    </r>
  </si>
  <si>
    <t>****   BB Esp</t>
  </si>
  <si>
    <t>BB  Moog  Fr</t>
  </si>
  <si>
    <t>N-EU</t>
  </si>
  <si>
    <t>hofer NaturesGold 340gDose</t>
  </si>
  <si>
    <t>2021-09</t>
  </si>
  <si>
    <t xml:space="preserve">hofer Castello </t>
  </si>
  <si>
    <t>amazon/OdolMed</t>
  </si>
  <si>
    <t>Azuki-Bohnen</t>
  </si>
  <si>
    <r>
      <t xml:space="preserve">SPAR </t>
    </r>
    <r>
      <rPr>
        <b/>
        <sz val="10"/>
        <color indexed="14"/>
        <rFont val="Arial"/>
        <family val="2"/>
      </rPr>
      <t>NaturPur</t>
    </r>
    <r>
      <rPr>
        <b/>
        <sz val="10"/>
        <color indexed="8"/>
        <rFont val="Arial"/>
        <family val="2"/>
      </rPr>
      <t xml:space="preserve"> (Dose)</t>
    </r>
  </si>
  <si>
    <t>2003-02</t>
  </si>
  <si>
    <t>F</t>
  </si>
  <si>
    <t>2019-05</t>
  </si>
  <si>
    <t>2010-09</t>
  </si>
  <si>
    <r>
      <t xml:space="preserve">BB -Taifun MOMEN </t>
    </r>
    <r>
      <rPr>
        <i/>
        <sz val="12"/>
        <color indexed="55"/>
        <rFont val="Arial"/>
        <family val="2"/>
      </rPr>
      <t>demeter</t>
    </r>
  </si>
  <si>
    <r>
      <t xml:space="preserve">BB -Taifun MOMEN </t>
    </r>
    <r>
      <rPr>
        <b/>
        <i/>
        <sz val="12"/>
        <color indexed="55"/>
        <rFont val="Arial"/>
        <family val="2"/>
      </rPr>
      <t>demeter</t>
    </r>
  </si>
  <si>
    <t>BB  SojVita Natur</t>
  </si>
  <si>
    <t>**  m.asia  maejin TOM KHA (Gemüse/Kokosmilch) Suppe (THAI)</t>
  </si>
  <si>
    <t>aktion?</t>
  </si>
  <si>
    <t>*  B13 SOJA Eis Schokolade  1l=500g</t>
  </si>
  <si>
    <t>Spar SwissFrey extraDark  72%</t>
  </si>
  <si>
    <t>m.asia royal THAI bamboo shoots (dose)</t>
  </si>
  <si>
    <t>H bioVKDinkel Schrott ?aktion</t>
  </si>
  <si>
    <t>CAROB</t>
  </si>
  <si>
    <t>##T  Vollkraft</t>
  </si>
  <si>
    <t>SojVita SojVita DIJONSENF kbA</t>
  </si>
  <si>
    <t>T multikost</t>
  </si>
  <si>
    <t>d  SojaWürfel</t>
  </si>
  <si>
    <t xml:space="preserve">d bio </t>
  </si>
  <si>
    <t>denns bio</t>
  </si>
  <si>
    <t>****  ho ZZU direkt naturtrüb  A/B-Saft (60+40) Tetra Ö</t>
  </si>
  <si>
    <t>ho ZZU SalzStangerl</t>
  </si>
  <si>
    <t xml:space="preserve">#denns  Sinfo bio  3.4% </t>
  </si>
  <si>
    <t>EG Micro (AAA)</t>
  </si>
  <si>
    <t>Zitronensre.</t>
  </si>
  <si>
    <t>Sorbinsre.</t>
  </si>
  <si>
    <t>B13 fest/mehlig/****rosa  Ö</t>
  </si>
  <si>
    <r>
      <t xml:space="preserve"> kaschik </t>
    </r>
    <r>
      <rPr>
        <b/>
        <i/>
        <sz val="14"/>
        <rFont val="Arial"/>
        <family val="2"/>
      </rPr>
      <t>demeter</t>
    </r>
    <r>
      <rPr>
        <sz val="10"/>
        <rFont val="Arial"/>
        <family val="2"/>
      </rPr>
      <t xml:space="preserve">  </t>
    </r>
    <r>
      <rPr>
        <b/>
        <sz val="12"/>
        <rFont val="Arial"/>
        <family val="2"/>
      </rPr>
      <t>SCHROTFLADEN</t>
    </r>
  </si>
  <si>
    <t xml:space="preserve">ET7  Sebahat  Sesambrei   </t>
  </si>
  <si>
    <t>ET7 Hayat   hell</t>
  </si>
  <si>
    <t>AMAZON-JedenTag RoggenVollkorn</t>
  </si>
  <si>
    <t>AMAZON-BioJoy BIO-Birnen</t>
  </si>
  <si>
    <t xml:space="preserve">AMAZON-Naturata Aprikosen </t>
  </si>
  <si>
    <t>AMAZON-Naturix24  Aprikosen sonnengelb</t>
  </si>
  <si>
    <t>AMAZON-BioJoy Pflaumen getr., entkernt</t>
  </si>
  <si>
    <t>AMAZON-Ivanka</t>
  </si>
  <si>
    <t xml:space="preserve">AMAZON-Alnatura Bio Nudeln Penne Rigate nichtVK </t>
  </si>
  <si>
    <t xml:space="preserve">AMAZON-BioGusti </t>
  </si>
  <si>
    <t xml:space="preserve">AMAZON-Rapunzel </t>
  </si>
  <si>
    <t>LISTERINE</t>
  </si>
  <si>
    <t>Spar ..</t>
  </si>
  <si>
    <t>hofer …</t>
  </si>
  <si>
    <r>
      <t xml:space="preserve">Asia-1  TRS  curried  </t>
    </r>
    <r>
      <rPr>
        <b/>
        <sz val="10"/>
        <color indexed="12"/>
        <rFont val="Arial"/>
        <family val="2"/>
      </rPr>
      <t>PATRA</t>
    </r>
    <r>
      <rPr>
        <sz val="10"/>
        <color indexed="12"/>
        <rFont val="Arial"/>
        <family val="2"/>
      </rPr>
      <t xml:space="preserve">  leaves (INDIA)</t>
    </r>
  </si>
  <si>
    <t>PM  "EchtBio"  ?Ö</t>
  </si>
  <si>
    <t>KOHLRABI</t>
  </si>
  <si>
    <t>BB  Taifun</t>
  </si>
  <si>
    <r>
      <t xml:space="preserve"> BB  </t>
    </r>
    <r>
      <rPr>
        <b/>
        <sz val="10"/>
        <color indexed="55"/>
        <rFont val="Arial"/>
        <family val="2"/>
      </rPr>
      <t>österreichische!</t>
    </r>
    <r>
      <rPr>
        <sz val="10"/>
        <color indexed="55"/>
        <rFont val="Arial"/>
        <family val="2"/>
      </rPr>
      <t xml:space="preserve">  ShiiTake  A</t>
    </r>
  </si>
  <si>
    <t>billa  Rapso  kbA  Ö</t>
  </si>
  <si>
    <t>-X%=&gt;</t>
  </si>
  <si>
    <r>
      <t xml:space="preserve">****  denns  </t>
    </r>
    <r>
      <rPr>
        <b/>
        <sz val="10"/>
        <rFont val="Arial"/>
        <family val="2"/>
      </rPr>
      <t>MONKI ERDNUSSMUS</t>
    </r>
    <r>
      <rPr>
        <sz val="10"/>
        <rFont val="Arial"/>
        <family val="2"/>
      </rPr>
      <t xml:space="preserve">  bio </t>
    </r>
  </si>
  <si>
    <t>***  m.asia  (miau) MetroMilan highly (18Stk)</t>
  </si>
  <si>
    <t>**   m.asia (m.Wurzeln) THAI</t>
  </si>
  <si>
    <t>Spar</t>
  </si>
  <si>
    <t>2007-04</t>
  </si>
  <si>
    <t>hofer zzU bio Ö</t>
  </si>
  <si>
    <t>*** hofer ZZU Dinkel-Roggenbrot</t>
  </si>
  <si>
    <t>KAKAOBUTTER</t>
  </si>
  <si>
    <t>m.asia  TAMARIND  ME CHUA   (Mus mit Kernen) (THAI)</t>
  </si>
  <si>
    <t>CH</t>
  </si>
  <si>
    <t>2014-09</t>
  </si>
  <si>
    <r>
      <t>spar   megabar Soja  vegan</t>
    </r>
    <r>
      <rPr>
        <sz val="10"/>
        <color indexed="23"/>
        <rFont val="Arial"/>
        <family val="2"/>
      </rPr>
      <t xml:space="preserve">  (tw) kbA  3x150</t>
    </r>
  </si>
  <si>
    <t>denns  Lebensbaum Gr.2=9cm</t>
  </si>
  <si>
    <t>RASIERKLINGEN</t>
  </si>
  <si>
    <t>einzeln</t>
  </si>
  <si>
    <t xml:space="preserve">*  denns davert parboiled  </t>
  </si>
  <si>
    <t>***  #ho  ZZU bio Kürbiskern-Kornweckerl 3x80g Hagenbrunn</t>
  </si>
  <si>
    <r>
      <t>lslesl</t>
    </r>
    <r>
      <rPr>
        <b/>
        <sz val="12"/>
        <color indexed="18"/>
        <rFont val="Arial"/>
        <family val="2"/>
      </rPr>
      <t xml:space="preserve">ESL  LichtSPARLAMPEN E14/E27  </t>
    </r>
  </si>
  <si>
    <t>lidl Navel Orangen GR</t>
  </si>
  <si>
    <t>lidl  Butternut  A</t>
  </si>
  <si>
    <t>lidl  weiße Bohnen  800g Dose</t>
  </si>
  <si>
    <t>ZELLER (Knollensellerie)</t>
  </si>
  <si>
    <t>lidl Ö</t>
  </si>
  <si>
    <t>ABTROPFGEWICHT</t>
  </si>
  <si>
    <t>etwas bitter!!</t>
  </si>
  <si>
    <r>
      <t>SMSMSSSMMM</t>
    </r>
    <r>
      <rPr>
        <b/>
        <sz val="12"/>
        <color indexed="22"/>
        <rFont val="Arial"/>
        <family val="2"/>
      </rPr>
      <t xml:space="preserve">   </t>
    </r>
    <r>
      <rPr>
        <b/>
        <sz val="12"/>
        <rFont val="Arial"/>
        <family val="2"/>
      </rPr>
      <t>SOJAMEHL</t>
    </r>
  </si>
  <si>
    <t xml:space="preserve">B JaN </t>
  </si>
  <si>
    <t>OLIVENÖL</t>
  </si>
  <si>
    <t>T  'Sojanüsse'</t>
  </si>
  <si>
    <t>billa  clever  42%</t>
  </si>
  <si>
    <t>GUARANA</t>
  </si>
  <si>
    <t>N&amp;R</t>
  </si>
  <si>
    <r>
      <t>RR</t>
    </r>
    <r>
      <rPr>
        <b/>
        <sz val="12"/>
        <rFont val="Arial"/>
        <family val="2"/>
      </rPr>
      <t>RADIESCHEN</t>
    </r>
  </si>
  <si>
    <t>ilnu</t>
  </si>
  <si>
    <r>
      <t xml:space="preserve">V-RB  </t>
    </r>
    <r>
      <rPr>
        <b/>
        <i/>
        <sz val="10"/>
        <rFont val="Arial"/>
        <family val="2"/>
      </rPr>
      <t>MONKI</t>
    </r>
    <r>
      <rPr>
        <sz val="10"/>
        <rFont val="Arial"/>
        <family val="0"/>
      </rPr>
      <t xml:space="preserve"> bio + Versand nach wien</t>
    </r>
  </si>
  <si>
    <t>ABREISSER</t>
  </si>
  <si>
    <t>aus1712</t>
  </si>
  <si>
    <t>BPS via Az  INTENSO  MINUS-r</t>
  </si>
  <si>
    <t>Az  Maxell sogutwieneu</t>
  </si>
  <si>
    <t xml:space="preserve">****  ##T BIO  (??)   **NUR** aus Ö   </t>
  </si>
  <si>
    <t>#hofer naturaktiv VK /Penne/Fusilli  "NEU"</t>
  </si>
  <si>
    <t>(veganer) "Aufschnitt / Wurst"</t>
  </si>
  <si>
    <t>**  BB  Soto  EnergieTaler kbA</t>
  </si>
  <si>
    <t>***  ET Koska hell TÜRK</t>
  </si>
  <si>
    <t>**  BB bio  China</t>
  </si>
  <si>
    <t>d dennree Natur</t>
  </si>
  <si>
    <t>#d -Taifun MOMEN demeter</t>
  </si>
  <si>
    <t>##T Govinda Fr</t>
  </si>
  <si>
    <t>Spar  Listerine cool mint 500ml</t>
  </si>
  <si>
    <t>#T Vollkraft kbA Glas</t>
  </si>
  <si>
    <t>B13 Taifun PUSZTA/TOFU-WIENER</t>
  </si>
  <si>
    <t>denns  KLETZEN  kbA</t>
  </si>
  <si>
    <t>Reformhaus Wallner, XIII., HietzingerHaupstrasse 25</t>
  </si>
  <si>
    <t>hofer naturAktiv geschälte Tomaten 400g Dose</t>
  </si>
  <si>
    <t>L</t>
  </si>
  <si>
    <t>aus:018/5-6</t>
  </si>
  <si>
    <t>ASS genericon</t>
  </si>
  <si>
    <t>denns  BackHof KartoffelMehl SpeiseStärke</t>
  </si>
  <si>
    <t>2005-03</t>
  </si>
  <si>
    <t>"STUDENTENFUTTER"</t>
  </si>
  <si>
    <t>***   B13 ilNutrimento   400g Dose</t>
  </si>
  <si>
    <t>2014-10</t>
  </si>
  <si>
    <r>
      <t xml:space="preserve">spar   </t>
    </r>
    <r>
      <rPr>
        <b/>
        <sz val="10"/>
        <color indexed="10"/>
        <rFont val="Arial"/>
        <family val="2"/>
      </rPr>
      <t>megabar</t>
    </r>
    <r>
      <rPr>
        <b/>
        <sz val="10"/>
        <color indexed="15"/>
        <rFont val="Arial"/>
        <family val="2"/>
      </rPr>
      <t xml:space="preserve"> Soja  vegan</t>
    </r>
    <r>
      <rPr>
        <sz val="10"/>
        <color indexed="15"/>
        <rFont val="Arial"/>
        <family val="2"/>
      </rPr>
      <t xml:space="preserve">   3x120</t>
    </r>
  </si>
  <si>
    <t>2007-10</t>
  </si>
  <si>
    <t>"Lebensfreundliche Produkte"</t>
  </si>
  <si>
    <t>***  EG69 batonetes Rose</t>
  </si>
  <si>
    <t>Mo</t>
  </si>
  <si>
    <t>ROTWEIN</t>
  </si>
  <si>
    <t>** denns Käptn Tofus KNUSPERSTÄBCHEN  kbA</t>
  </si>
  <si>
    <t>denns</t>
  </si>
  <si>
    <t>AVOCADO</t>
  </si>
  <si>
    <t>2004-12</t>
  </si>
  <si>
    <t>ERDNUSSMUS</t>
  </si>
  <si>
    <t>BB Rapunzel fein</t>
  </si>
  <si>
    <t>PLUS  DIADENT 2x 50m</t>
  </si>
  <si>
    <t>2010-04</t>
  </si>
  <si>
    <t>? not kba ?</t>
  </si>
  <si>
    <t>***  Bi  Sultanas</t>
  </si>
  <si>
    <t>***  ho PureFruit Birnensaft DIREKT(naturtrüb</t>
  </si>
  <si>
    <r>
      <t xml:space="preserve">denns  MONKI </t>
    </r>
    <r>
      <rPr>
        <b/>
        <sz val="10"/>
        <color indexed="22"/>
        <rFont val="Arial"/>
        <family val="2"/>
      </rPr>
      <t>SONNENBLUMENMUS</t>
    </r>
    <r>
      <rPr>
        <sz val="10"/>
        <color indexed="22"/>
        <rFont val="Arial"/>
        <family val="2"/>
      </rPr>
      <t xml:space="preserve">  bio </t>
    </r>
  </si>
  <si>
    <t>E.Stücklberger(Versand)  v.stuecklberger@aon.at,  e.stuecklberger@lebensfreundlich.at    o5@uta</t>
  </si>
  <si>
    <r>
      <t>hhhhaselnnnnüsse  nnnnn</t>
    </r>
    <r>
      <rPr>
        <b/>
        <sz val="12"/>
        <color indexed="8"/>
        <rFont val="Arial"/>
        <family val="2"/>
      </rPr>
      <t>NÜSSE</t>
    </r>
  </si>
  <si>
    <t>L  bio fair  ?</t>
  </si>
  <si>
    <t>***  B13 Taifun Tofu-Dinkelbratlinge</t>
  </si>
  <si>
    <t>!! Aktion !!</t>
  </si>
  <si>
    <r>
      <t xml:space="preserve">DVD+RDVDR,  </t>
    </r>
    <r>
      <rPr>
        <b/>
        <sz val="12"/>
        <color indexed="18"/>
        <rFont val="Arial"/>
        <family val="2"/>
      </rPr>
      <t>DVD-ROHLINGE</t>
    </r>
  </si>
  <si>
    <t>2021-10</t>
  </si>
  <si>
    <t>***  ho-NaturAktiv mit Kern</t>
  </si>
  <si>
    <t>*** ho-NaturAktiv ohne Kern</t>
  </si>
  <si>
    <t>Asia-2  SATYA  SUPER HIT  15g</t>
  </si>
  <si>
    <t>rot = teuer</t>
  </si>
  <si>
    <t>(**) T SojVita bio Seitan Spezial</t>
  </si>
  <si>
    <t xml:space="preserve">***  #billa  JaN    </t>
  </si>
  <si>
    <t>BB   Ö</t>
  </si>
  <si>
    <t>billiger</t>
  </si>
  <si>
    <t>BB Backhof "Feine Speisestärke"</t>
  </si>
  <si>
    <t>AMAZON-BioJoy</t>
  </si>
  <si>
    <t>'Einfach Günstig'  XV., Mariahilferstr. 158    +++RIP</t>
  </si>
  <si>
    <t>Asia-2  Shrinivas Sugandhalya  VALLEY OF ROSES  20g</t>
  </si>
  <si>
    <t>(lecker; kernarm!)   billa JaN mini  It</t>
  </si>
  <si>
    <t xml:space="preserve">!!! ??? !!! </t>
  </si>
  <si>
    <t>Charentais-MELONE</t>
  </si>
  <si>
    <t>#hofer naturaktiv VK /Penne/Fusili</t>
  </si>
  <si>
    <t>BB  Ö</t>
  </si>
  <si>
    <r>
      <t>-  Etsan Blumen</t>
    </r>
    <r>
      <rPr>
        <b/>
        <sz val="10"/>
        <color indexed="14"/>
        <rFont val="Arial"/>
        <family val="2"/>
      </rPr>
      <t>Brot</t>
    </r>
  </si>
  <si>
    <t>*-  ho Bäckersonne</t>
  </si>
  <si>
    <r>
      <t xml:space="preserve">- Etsan </t>
    </r>
    <r>
      <rPr>
        <b/>
        <sz val="12"/>
        <color indexed="14"/>
        <rFont val="Arial"/>
        <family val="2"/>
      </rPr>
      <t>Anadolu</t>
    </r>
    <r>
      <rPr>
        <b/>
        <sz val="12"/>
        <color indexed="12"/>
        <rFont val="Arial"/>
        <family val="2"/>
      </rPr>
      <t xml:space="preserve"> Brot</t>
    </r>
  </si>
  <si>
    <t>** Etsan Baguette</t>
  </si>
  <si>
    <t>*? Etsan TürkBrot groß</t>
  </si>
  <si>
    <t>billa JaN Hochland  kbA</t>
  </si>
  <si>
    <t>** hofer  GartenKrone  800g Dose NL</t>
  </si>
  <si>
    <t>** lidl   800g Dose NL</t>
  </si>
  <si>
    <r>
      <t xml:space="preserve">lidl </t>
    </r>
    <r>
      <rPr>
        <b/>
        <sz val="10"/>
        <color indexed="17"/>
        <rFont val="Arial"/>
        <family val="2"/>
      </rPr>
      <t>Erntepracht (Weizenmisch)Brot</t>
    </r>
    <r>
      <rPr>
        <b/>
        <sz val="10"/>
        <color indexed="48"/>
        <rFont val="Arial"/>
        <family val="2"/>
      </rPr>
      <t xml:space="preserve"> geschnitten</t>
    </r>
  </si>
  <si>
    <r>
      <t xml:space="preserve">ho  cucinaNobile  </t>
    </r>
    <r>
      <rPr>
        <b/>
        <sz val="10"/>
        <color indexed="55"/>
        <rFont val="Arial"/>
        <family val="2"/>
      </rPr>
      <t>"dreifach"</t>
    </r>
    <r>
      <rPr>
        <sz val="10"/>
        <color indexed="55"/>
        <rFont val="Arial"/>
        <family val="2"/>
      </rPr>
      <t xml:space="preserve"> Tube  It</t>
    </r>
  </si>
  <si>
    <t>hofer  lose  PERU</t>
  </si>
  <si>
    <t>2017-08</t>
  </si>
  <si>
    <t>ho bio Ö</t>
  </si>
  <si>
    <t>LINSEN GRÜN / BRAUN</t>
  </si>
  <si>
    <r>
      <t>EVI</t>
    </r>
    <r>
      <rPr>
        <sz val="10"/>
        <color indexed="17"/>
        <rFont val="Arial"/>
        <family val="2"/>
      </rPr>
      <t xml:space="preserve">    Dinkelvollmehl</t>
    </r>
  </si>
  <si>
    <r>
      <t>oooooliven</t>
    </r>
    <r>
      <rPr>
        <b/>
        <sz val="12"/>
        <rFont val="Arial"/>
        <family val="2"/>
      </rPr>
      <t xml:space="preserve">   schwarze OLIVEN   </t>
    </r>
  </si>
  <si>
    <t>2021-04</t>
  </si>
  <si>
    <t>ho  ZZU Roggenlaib mit Vollkorn Mühlviertel</t>
  </si>
  <si>
    <t>SPAR-Sbudget Semmelwürfel</t>
  </si>
  <si>
    <t>2022-1</t>
  </si>
  <si>
    <t>UPTECH(shop)    MediaRange cake</t>
  </si>
  <si>
    <t>Essigsäure</t>
  </si>
  <si>
    <t>Propionsäure</t>
  </si>
  <si>
    <t>Milchsäure</t>
  </si>
  <si>
    <t>E1  alkaline 9V-block</t>
  </si>
  <si>
    <t>kaputt</t>
  </si>
  <si>
    <t>***  B13 Alber  Shiitake  (275ml Glas)</t>
  </si>
  <si>
    <t>Az-MundoFelz DATTELN entkernt</t>
  </si>
  <si>
    <t>Az-??</t>
  </si>
  <si>
    <t>Az-Amazonia bio</t>
  </si>
  <si>
    <t>denns:0</t>
  </si>
  <si>
    <t>***  hofer bella Mignon</t>
  </si>
  <si>
    <t>GASPACHO</t>
  </si>
  <si>
    <t>#dm  Alnatura  klein D</t>
  </si>
  <si>
    <r>
      <t xml:space="preserve">dm  Alnatura  </t>
    </r>
    <r>
      <rPr>
        <b/>
        <i/>
        <sz val="10"/>
        <color indexed="55"/>
        <rFont val="Arial"/>
        <family val="2"/>
      </rPr>
      <t>demeter</t>
    </r>
    <r>
      <rPr>
        <b/>
        <sz val="10"/>
        <color indexed="55"/>
        <rFont val="Arial"/>
        <family val="2"/>
      </rPr>
      <t xml:space="preserve"> klein D</t>
    </r>
  </si>
  <si>
    <t>2016-09</t>
  </si>
  <si>
    <r>
      <t xml:space="preserve">****   BB Rapunzel </t>
    </r>
    <r>
      <rPr>
        <i/>
        <sz val="12"/>
        <color indexed="55"/>
        <rFont val="Arial"/>
        <family val="2"/>
      </rPr>
      <t>DEMETER</t>
    </r>
    <r>
      <rPr>
        <sz val="10"/>
        <color indexed="55"/>
        <rFont val="Arial"/>
        <family val="2"/>
      </rPr>
      <t xml:space="preserve">  </t>
    </r>
  </si>
  <si>
    <r>
      <t xml:space="preserve">****   B13 Rapunzel </t>
    </r>
    <r>
      <rPr>
        <i/>
        <sz val="12"/>
        <color indexed="55"/>
        <rFont val="Arial"/>
        <family val="2"/>
      </rPr>
      <t>DEMETER</t>
    </r>
    <r>
      <rPr>
        <sz val="10"/>
        <color indexed="55"/>
        <rFont val="Arial"/>
        <family val="2"/>
      </rPr>
      <t xml:space="preserve">  </t>
    </r>
  </si>
  <si>
    <t>2011-03</t>
  </si>
  <si>
    <t>T  Biona Organic RED KIDNEY beans 400g Dose</t>
  </si>
  <si>
    <r>
      <t xml:space="preserve">--   Bi </t>
    </r>
    <r>
      <rPr>
        <sz val="10"/>
        <color indexed="14"/>
        <rFont val="Arial"/>
        <family val="2"/>
      </rPr>
      <t>JaN Sugo</t>
    </r>
    <r>
      <rPr>
        <sz val="10"/>
        <color indexed="8"/>
        <rFont val="Arial"/>
        <family val="2"/>
      </rPr>
      <t xml:space="preserve"> Toscana</t>
    </r>
  </si>
  <si>
    <t>**** BB  Uta  Ö</t>
  </si>
  <si>
    <t>***  denns  Taifun    Pizza Bratfilets</t>
  </si>
  <si>
    <t>#lidl festk/vorw.fk. Ö</t>
  </si>
  <si>
    <t>TOMATEN  getrocknet</t>
  </si>
  <si>
    <t>az-BioJoy</t>
  </si>
  <si>
    <t>az-Kamelu</t>
  </si>
  <si>
    <t>B  alkaline 9V-block</t>
  </si>
  <si>
    <t>Stücklberger, SODASAN Comfort</t>
  </si>
  <si>
    <t>dm        Natur  680g</t>
  </si>
  <si>
    <t>dm        Kräuter  680g</t>
  </si>
  <si>
    <t>denns dennree (22%) Glas D</t>
  </si>
  <si>
    <t>hofer mikado sweet corn</t>
  </si>
  <si>
    <t xml:space="preserve"> Li    3V</t>
  </si>
  <si>
    <t>cosmos,LC   CR 2032</t>
  </si>
  <si>
    <t>*** denns SojVita bio Seitan Spezial</t>
  </si>
  <si>
    <t>2008-07</t>
  </si>
  <si>
    <t>BB  Rapunzel grüne  bio</t>
  </si>
  <si>
    <t>2011-01</t>
  </si>
  <si>
    <t>***   $1  HiTech (blau/weiß)  2x15g</t>
  </si>
  <si>
    <t>*** denns  Alsan Palm&gt;SoBlu (80%F)</t>
  </si>
  <si>
    <t>AZ-Biotiva Sencha extrafein</t>
  </si>
  <si>
    <r>
      <t>ttttt</t>
    </r>
    <r>
      <rPr>
        <b/>
        <sz val="14"/>
        <rFont val="Arial"/>
        <family val="2"/>
      </rPr>
      <t>TEE (camellia sinensis)</t>
    </r>
  </si>
  <si>
    <t>2009-11</t>
  </si>
  <si>
    <r>
      <t>ss</t>
    </r>
    <r>
      <rPr>
        <b/>
        <sz val="12"/>
        <rFont val="Arial"/>
        <family val="2"/>
      </rPr>
      <t>SPINAT</t>
    </r>
  </si>
  <si>
    <t>ET == ET1</t>
  </si>
  <si>
    <t>?? -- ET7</t>
  </si>
  <si>
    <t>hofer diverse</t>
  </si>
  <si>
    <t>PM A.B.diModena  6%</t>
  </si>
  <si>
    <t>ZU/</t>
  </si>
  <si>
    <t>grün/fett=BILLIG(ST)</t>
  </si>
  <si>
    <t>d Tartex Delikatess Glas</t>
  </si>
  <si>
    <t>BB Ruschkin Hatcho  NEU</t>
  </si>
  <si>
    <t>ARTISCHOCKEN-HERZEN</t>
  </si>
  <si>
    <t>2Kg=23*</t>
  </si>
  <si>
    <t>b=17.8g</t>
  </si>
  <si>
    <t>***  ##T SojVita bio Seitan Spezial</t>
  </si>
  <si>
    <t>Summe trocken</t>
  </si>
  <si>
    <t>FiT</t>
  </si>
  <si>
    <t>lidl Heimat bio VK-Weizenmehl</t>
  </si>
  <si>
    <t>ho ZZU bio VK-Weizenmehl</t>
  </si>
  <si>
    <t>***   BB - Fandler BIO</t>
  </si>
  <si>
    <t>BB  Rapunzel  Fr</t>
  </si>
  <si>
    <t>Stk.</t>
  </si>
  <si>
    <t>PM b!o Ö</t>
  </si>
  <si>
    <r>
      <t xml:space="preserve">V-BD  </t>
    </r>
    <r>
      <rPr>
        <b/>
        <i/>
        <sz val="10"/>
        <rFont val="Arial"/>
        <family val="2"/>
      </rPr>
      <t>MONKI</t>
    </r>
    <r>
      <rPr>
        <sz val="10"/>
        <rFont val="Arial"/>
        <family val="0"/>
      </rPr>
      <t xml:space="preserve"> bio</t>
    </r>
  </si>
  <si>
    <t>AMAZON JedenTag   schwarz entkernt 350g Glas  ES</t>
  </si>
  <si>
    <t>AMAZON JedenTag   grün entkernt 350g Glas  ES</t>
  </si>
  <si>
    <t>EQUador, ECUador</t>
  </si>
  <si>
    <t>MARGARINE</t>
  </si>
  <si>
    <t>IS   AAA 900mAh</t>
  </si>
  <si>
    <t>Asia-2 MSDF 3Roses/5Roses/  (25 gms)</t>
  </si>
  <si>
    <t>denns  Rapunzel  D</t>
  </si>
  <si>
    <t>2019-01</t>
  </si>
  <si>
    <t>ROSINEN / SULTANINEN</t>
  </si>
  <si>
    <t>tonershot  oekoline LJ6p</t>
  </si>
  <si>
    <t xml:space="preserve">$1  Castello  3: 25+15+8g </t>
  </si>
  <si>
    <t>$1  SchoolBasic  2x?20g?</t>
  </si>
  <si>
    <t>2013-02</t>
  </si>
  <si>
    <t>$1 MHS75 set mit 2 LR44 u.a.</t>
  </si>
  <si>
    <r>
      <t xml:space="preserve">amazon\AlnaturA </t>
    </r>
    <r>
      <rPr>
        <b/>
        <sz val="10"/>
        <color indexed="14"/>
        <rFont val="Arial"/>
        <family val="2"/>
      </rPr>
      <t>Soja</t>
    </r>
    <r>
      <rPr>
        <b/>
        <sz val="10"/>
        <color indexed="8"/>
        <rFont val="Arial"/>
        <family val="2"/>
      </rPr>
      <t>Schnetzel fein  kbA</t>
    </r>
  </si>
  <si>
    <t>BB  Zuckerhut  Ö</t>
  </si>
  <si>
    <t>BB Chinakohl  Ö</t>
  </si>
  <si>
    <t>denns dennree  ÄGY</t>
  </si>
  <si>
    <t>az-Diamond (PLSack)</t>
  </si>
  <si>
    <t>Österreich</t>
  </si>
  <si>
    <t>ECOVer color (Pulver)</t>
  </si>
  <si>
    <t>2016-03</t>
  </si>
  <si>
    <t>t=16g</t>
  </si>
  <si>
    <r>
      <t xml:space="preserve">****  denns  </t>
    </r>
    <r>
      <rPr>
        <b/>
        <sz val="10"/>
        <color indexed="22"/>
        <rFont val="Arial"/>
        <family val="2"/>
      </rPr>
      <t>MONKI ERDNUSSMUS</t>
    </r>
    <r>
      <rPr>
        <sz val="10"/>
        <color indexed="22"/>
        <rFont val="Arial"/>
        <family val="2"/>
      </rPr>
      <t xml:space="preserve">  bio </t>
    </r>
  </si>
  <si>
    <t>2007-09</t>
  </si>
  <si>
    <t>UV alkaline 9V-block</t>
  </si>
  <si>
    <t>Birkenzucker</t>
  </si>
  <si>
    <t>kJ</t>
  </si>
  <si>
    <t>Merkur SAHNEKAPSELN</t>
  </si>
  <si>
    <t>10Stk</t>
  </si>
  <si>
    <t>2007-02</t>
  </si>
  <si>
    <t>***   BB  grün/länglich dünschalig  GR</t>
  </si>
  <si>
    <t xml:space="preserve">**  #denns  Soto   MINIFRÜHLINGSROELLCHEN (chin)  </t>
  </si>
  <si>
    <t>*** hofer ZZU BackBox  Roggenbrot</t>
  </si>
  <si>
    <t>2022-01</t>
  </si>
  <si>
    <r>
      <t xml:space="preserve">MMAIS  </t>
    </r>
    <r>
      <rPr>
        <b/>
        <sz val="12"/>
        <color indexed="9"/>
        <rFont val="Arial"/>
        <family val="2"/>
      </rPr>
      <t xml:space="preserve"> ((</t>
    </r>
    <r>
      <rPr>
        <b/>
        <sz val="12"/>
        <rFont val="Arial"/>
        <family val="2"/>
      </rPr>
      <t>(ZUCKER-)MAIS</t>
    </r>
  </si>
  <si>
    <t>BB Sonenntor  Senfkörner</t>
  </si>
  <si>
    <t xml:space="preserve">billa  Soja  nix-bio  </t>
  </si>
  <si>
    <t>denns BioVita Zitronenschale (Pulver) kbA</t>
  </si>
  <si>
    <t>TOPINAMBUR</t>
  </si>
  <si>
    <t>T vollkraft FENCHEL  ganz</t>
  </si>
  <si>
    <t>IT</t>
  </si>
  <si>
    <t>denns==B13+A80 Alber  Mix (Stroh-P+Chin.Stockschw.) (275ml Glas)</t>
  </si>
  <si>
    <t>BB  basic  Kichererbsen 330g Glas</t>
  </si>
  <si>
    <t xml:space="preserve">  I   dioten</t>
  </si>
  <si>
    <t>T  rot  Ö</t>
  </si>
  <si>
    <t>2006-08</t>
  </si>
  <si>
    <t>ho ELSTAR  Ö</t>
  </si>
  <si>
    <t xml:space="preserve">***  #denns dennree  </t>
  </si>
  <si>
    <t>QuelleVersand</t>
  </si>
  <si>
    <t>Ho Kerzen Hyperlux E14 25W (&amp;al)</t>
  </si>
  <si>
    <t>hofer  HyperLux  E27 100W</t>
  </si>
  <si>
    <r>
      <t xml:space="preserve">****  BB  </t>
    </r>
    <r>
      <rPr>
        <b/>
        <sz val="10"/>
        <rFont val="Arial"/>
        <family val="2"/>
      </rPr>
      <t>MONKI ERDNUSSMUS</t>
    </r>
    <r>
      <rPr>
        <sz val="10"/>
        <rFont val="Arial"/>
        <family val="2"/>
      </rPr>
      <t xml:space="preserve">  bio </t>
    </r>
  </si>
  <si>
    <t>BB basic</t>
  </si>
  <si>
    <t>ho  ZZU "Raritäten"  Ö</t>
  </si>
  <si>
    <r>
      <t xml:space="preserve">MMAIS  </t>
    </r>
    <r>
      <rPr>
        <b/>
        <sz val="12"/>
        <color indexed="9"/>
        <rFont val="Arial"/>
        <family val="2"/>
      </rPr>
      <t xml:space="preserve"> (r</t>
    </r>
    <r>
      <rPr>
        <b/>
        <sz val="12"/>
        <rFont val="Arial"/>
        <family val="2"/>
      </rPr>
      <t>röst-MAIS  KIKOS</t>
    </r>
  </si>
  <si>
    <r>
      <t xml:space="preserve">**- </t>
    </r>
    <r>
      <rPr>
        <sz val="10"/>
        <color indexed="8"/>
        <rFont val="Arial"/>
        <family val="2"/>
      </rPr>
      <t xml:space="preserve"> BB Naturmühle "FeelGood" Olive A</t>
    </r>
  </si>
  <si>
    <t>SC4(???EG4)  60/40/25W</t>
  </si>
  <si>
    <t>##T -- STEVIAPUR vermahlen inkl. Blätter und Wurzeln VollKraft</t>
  </si>
  <si>
    <r>
      <t xml:space="preserve">-- billa </t>
    </r>
    <r>
      <rPr>
        <b/>
        <sz val="10"/>
        <color indexed="14"/>
        <rFont val="Arial"/>
        <family val="2"/>
      </rPr>
      <t>JaN</t>
    </r>
    <r>
      <rPr>
        <b/>
        <sz val="10"/>
        <rFont val="Arial"/>
        <family val="2"/>
      </rPr>
      <t xml:space="preserve"> </t>
    </r>
    <r>
      <rPr>
        <b/>
        <sz val="10"/>
        <color indexed="14"/>
        <rFont val="Arial"/>
        <family val="2"/>
      </rPr>
      <t>"Gemüse"Aufstrich</t>
    </r>
  </si>
  <si>
    <t>denns  Sonnentor GALGANT gemahlen</t>
  </si>
  <si>
    <t>TOMATEN</t>
  </si>
  <si>
    <t>BB basic Polenta</t>
  </si>
  <si>
    <t>%Schale</t>
  </si>
  <si>
    <t>B13</t>
  </si>
  <si>
    <t>H N&amp;R DinkelKoch kbA</t>
  </si>
  <si>
    <t>H N&amp;R WeizenVK kbA</t>
  </si>
  <si>
    <t>ho  ZZU Ö</t>
  </si>
  <si>
    <t>"SüdAMerika"</t>
  </si>
  <si>
    <t>hofer Grandessa Vanille (520g)</t>
  </si>
  <si>
    <t>Moldawien</t>
  </si>
  <si>
    <t>PM1</t>
  </si>
  <si>
    <t>PM2</t>
  </si>
  <si>
    <t>PM3</t>
  </si>
  <si>
    <t xml:space="preserve">   ho mini-Wassermelone ?</t>
  </si>
  <si>
    <t xml:space="preserve">#BB  basic VK Spaghetti </t>
  </si>
  <si>
    <t>SPARGEL</t>
  </si>
  <si>
    <t>ILM  Viva (Gummisohle)</t>
  </si>
  <si>
    <t>2009-09</t>
  </si>
  <si>
    <t>*** EG69 2x8g</t>
  </si>
  <si>
    <t>BB  "BioK" ~~ Aufstriche</t>
  </si>
  <si>
    <r>
      <t xml:space="preserve"> T -- Tabs (ohne Zusätze(</t>
    </r>
    <r>
      <rPr>
        <b/>
        <sz val="10"/>
        <color indexed="14"/>
        <rFont val="Arial"/>
        <family val="2"/>
      </rPr>
      <t>???</t>
    </r>
    <r>
      <rPr>
        <b/>
        <sz val="10"/>
        <color indexed="12"/>
        <rFont val="Arial"/>
        <family val="2"/>
      </rPr>
      <t>) )</t>
    </r>
  </si>
  <si>
    <r>
      <t>billa</t>
    </r>
    <r>
      <rPr>
        <sz val="10"/>
        <color indexed="14"/>
        <rFont val="Arial"/>
        <family val="2"/>
      </rPr>
      <t xml:space="preserve">   JaN</t>
    </r>
    <r>
      <rPr>
        <sz val="10"/>
        <rFont val="Arial"/>
        <family val="0"/>
      </rPr>
      <t xml:space="preserve"> Soja  </t>
    </r>
    <r>
      <rPr>
        <sz val="10"/>
        <color indexed="14"/>
        <rFont val="Arial"/>
        <family val="2"/>
      </rPr>
      <t>vegan</t>
    </r>
    <r>
      <rPr>
        <sz val="10"/>
        <rFont val="Arial"/>
        <family val="0"/>
      </rPr>
      <t xml:space="preserve">  (tw) kbA  6x100</t>
    </r>
  </si>
  <si>
    <r>
      <t>BACK=trocken-</t>
    </r>
    <r>
      <rPr>
        <b/>
        <sz val="12"/>
        <color indexed="18"/>
        <rFont val="Arial"/>
        <family val="2"/>
      </rPr>
      <t>HEFE</t>
    </r>
  </si>
  <si>
    <r>
      <t xml:space="preserve">**  #BB  </t>
    </r>
    <r>
      <rPr>
        <sz val="10"/>
        <color indexed="14"/>
        <rFont val="Arial"/>
        <family val="2"/>
      </rPr>
      <t>Soto</t>
    </r>
    <r>
      <rPr>
        <sz val="10"/>
        <color indexed="8"/>
        <rFont val="Arial"/>
        <family val="2"/>
      </rPr>
      <t xml:space="preserve">   MINIFRÜHLINGSROELLCHEN (thai)</t>
    </r>
  </si>
  <si>
    <t xml:space="preserve"> organic rice cream</t>
  </si>
  <si>
    <t>amazon-KoRo SojaWürfel  kbA</t>
  </si>
  <si>
    <t>BRUNNADER, 1180 Wien, Kutschkerg 29 - Mo-Do:9-13+15-1830 Fr:9-1830 Sa:9-13</t>
  </si>
  <si>
    <t>aktion</t>
  </si>
  <si>
    <r>
      <t>dm alnatura "Zwiebel</t>
    </r>
    <r>
      <rPr>
        <sz val="10"/>
        <color indexed="14"/>
        <rFont val="Arial"/>
        <family val="2"/>
      </rPr>
      <t>Schmalz</t>
    </r>
    <r>
      <rPr>
        <sz val="10"/>
        <color indexed="8"/>
        <rFont val="Arial"/>
        <family val="2"/>
      </rPr>
      <t>"</t>
    </r>
  </si>
  <si>
    <t>BB  bioVerde  VEGAN CILANTRO/Koriander-Pesto</t>
  </si>
  <si>
    <t>hofer NaturesGold weiße Bohnen 800g Dose</t>
  </si>
  <si>
    <t>COL</t>
  </si>
  <si>
    <t>Columbia</t>
  </si>
  <si>
    <t xml:space="preserve">***  (+)  BB Spaghettisauce  Piccante all Arrabbiata </t>
  </si>
  <si>
    <t>A/B = Apfel/Birne</t>
  </si>
  <si>
    <t>KIWI</t>
  </si>
  <si>
    <t>***  ho  Ö</t>
  </si>
  <si>
    <t>(*)  F  N&amp;R  Langkorn  (?)</t>
  </si>
  <si>
    <t>~~  Süd-XII., Oswaldgasse</t>
  </si>
  <si>
    <t xml:space="preserve">PennyMarkt: </t>
  </si>
  <si>
    <t>~~ XII., Arndtstr. 39 / Längenfeldg. 11</t>
  </si>
  <si>
    <t>PM4</t>
  </si>
  <si>
    <t>~~ XII., Aßmayergasse 30-32</t>
  </si>
  <si>
    <t>BB basic grüne  T</t>
  </si>
  <si>
    <t>BB vivani bitter 70%</t>
  </si>
  <si>
    <t>J Rapunzel kbA</t>
  </si>
  <si>
    <t>Sulfit</t>
  </si>
  <si>
    <t>2016-02</t>
  </si>
  <si>
    <t>lidl  bioTrend Pfirsich It</t>
  </si>
  <si>
    <t>#denns Premium</t>
  </si>
  <si>
    <t>Ampirion   Intenso 700MB 100pcs Cake Box</t>
  </si>
  <si>
    <t>KEINE 100/75W :  sc3, E2</t>
  </si>
  <si>
    <t>B - EgaVita  Tofu natur</t>
  </si>
  <si>
    <t>**  BB  Soto GlücksSterne kbA</t>
  </si>
  <si>
    <t>10g</t>
  </si>
  <si>
    <t>ho  MARISOL Clementinen Esp</t>
  </si>
  <si>
    <t>dm  Alnatura</t>
  </si>
  <si>
    <r>
      <t xml:space="preserve">BB  "BioK" </t>
    </r>
    <r>
      <rPr>
        <sz val="10"/>
        <color indexed="14"/>
        <rFont val="Arial"/>
        <family val="2"/>
      </rPr>
      <t>GemüsePastete</t>
    </r>
    <r>
      <rPr>
        <sz val="10"/>
        <color indexed="8"/>
        <rFont val="Arial"/>
        <family val="2"/>
      </rPr>
      <t xml:space="preserve"> Grünkern</t>
    </r>
  </si>
  <si>
    <t>ZWETSCHGEN / PFLAUMEN</t>
  </si>
  <si>
    <r>
      <t xml:space="preserve">HAFLO  </t>
    </r>
    <r>
      <rPr>
        <b/>
        <sz val="12"/>
        <rFont val="Arial"/>
        <family val="2"/>
      </rPr>
      <t>HAFERFLOCKEN</t>
    </r>
  </si>
  <si>
    <t>BB  bio  Ö</t>
  </si>
  <si>
    <t>demnext: D3, DENNS</t>
  </si>
  <si>
    <t>Mo-Fr 9-20 + Sa 8-18</t>
  </si>
  <si>
    <t>-10%</t>
  </si>
  <si>
    <t>##T Vollwert Sojaschnetzel kbA</t>
  </si>
  <si>
    <t>2021-06</t>
  </si>
  <si>
    <t>PM GRÜN (Piel de Sapo)  ?Esp</t>
  </si>
  <si>
    <r>
      <t xml:space="preserve">MMEHL   </t>
    </r>
    <r>
      <rPr>
        <b/>
        <sz val="12"/>
        <rFont val="Arial"/>
        <family val="2"/>
      </rPr>
      <t xml:space="preserve"> ROGENNMEHL </t>
    </r>
  </si>
  <si>
    <t>ISR</t>
  </si>
  <si>
    <r>
      <t xml:space="preserve">hofer NaturPur bio Hafermalzgebäck </t>
    </r>
    <r>
      <rPr>
        <sz val="8"/>
        <color indexed="8"/>
        <rFont val="Arial"/>
        <family val="2"/>
      </rPr>
      <t xml:space="preserve"> (H, zum FertigBacken)</t>
    </r>
  </si>
  <si>
    <r>
      <t xml:space="preserve">hofer NaturPur bio Weizengebäck </t>
    </r>
    <r>
      <rPr>
        <sz val="8"/>
        <color indexed="8"/>
        <rFont val="Arial"/>
        <family val="2"/>
      </rPr>
      <t xml:space="preserve"> (H, zum FertigBacken)</t>
    </r>
  </si>
  <si>
    <t>powersales4you.at  Maxell</t>
  </si>
  <si>
    <t xml:space="preserve">m.asia BROADBEAN dicke Bohnen </t>
  </si>
  <si>
    <t>ho bei ESP</t>
  </si>
  <si>
    <t>pro kg</t>
  </si>
  <si>
    <t>KIRSCHEN</t>
  </si>
  <si>
    <t>***   #m.asia Goloka NAG CHAMPA  GELB (16g; 14Stk.)</t>
  </si>
  <si>
    <t>***   #m.asia Satya HARI agarbatti  ROT/GELB (30g, 20Stk</t>
  </si>
  <si>
    <t>#BB Chinakohl  Ö</t>
  </si>
  <si>
    <t>ho Carloni  gehackte Tomaten It</t>
  </si>
  <si>
    <r>
      <t>Amazon europe100 ELA044</t>
    </r>
    <r>
      <rPr>
        <sz val="10"/>
        <color indexed="12"/>
        <rFont val="Arial"/>
        <family val="2"/>
      </rPr>
      <t xml:space="preserve">   70x50,8 mm</t>
    </r>
  </si>
  <si>
    <r>
      <t>SCHÄFER</t>
    </r>
    <r>
      <rPr>
        <sz val="10"/>
        <color indexed="12"/>
        <rFont val="Arial"/>
        <family val="2"/>
      </rPr>
      <t xml:space="preserve">   70x50,8 mm</t>
    </r>
  </si>
  <si>
    <r>
      <t>SCHÄFER</t>
    </r>
    <r>
      <rPr>
        <sz val="10"/>
        <color indexed="12"/>
        <rFont val="Arial"/>
        <family val="2"/>
      </rPr>
      <t xml:space="preserve">   70x30 mm</t>
    </r>
  </si>
  <si>
    <r>
      <t xml:space="preserve">ettiketten  </t>
    </r>
    <r>
      <rPr>
        <b/>
        <sz val="12"/>
        <rFont val="Arial"/>
        <family val="2"/>
      </rPr>
      <t>ETIKETTEN A4</t>
    </r>
  </si>
  <si>
    <t>Office2B Kores A4 4x100</t>
  </si>
  <si>
    <t>c /100 Stk.</t>
  </si>
  <si>
    <t>LieferVERZÖGERT</t>
  </si>
  <si>
    <t>Az-europe economy A4 5x100</t>
  </si>
  <si>
    <t>BB  Neumarkter Lammsbräu  Fl.</t>
  </si>
  <si>
    <t>2022-06</t>
  </si>
  <si>
    <t>***  BB SojVita mittelscharf  glas</t>
  </si>
  <si>
    <r>
      <t xml:space="preserve">*** BB  Erhardt </t>
    </r>
    <r>
      <rPr>
        <b/>
        <i/>
        <sz val="12"/>
        <color indexed="8"/>
        <rFont val="Arial"/>
        <family val="2"/>
      </rPr>
      <t>demeter</t>
    </r>
    <r>
      <rPr>
        <b/>
        <sz val="11"/>
        <color indexed="8"/>
        <rFont val="Arial"/>
        <family val="2"/>
      </rPr>
      <t xml:space="preserve"> MEERRETTICH glas</t>
    </r>
  </si>
  <si>
    <t>d2 Oekoland  ItalienischeKräuter  tiefgefroren</t>
  </si>
  <si>
    <t>d  Lima</t>
  </si>
  <si>
    <t>HANFÖL</t>
  </si>
  <si>
    <t>J</t>
  </si>
  <si>
    <t>2015-02</t>
  </si>
  <si>
    <t>Lactate</t>
  </si>
  <si>
    <t>331-337</t>
  </si>
  <si>
    <r>
      <t xml:space="preserve">***   </t>
    </r>
    <r>
      <rPr>
        <b/>
        <sz val="10"/>
        <color indexed="55"/>
        <rFont val="Arial"/>
        <family val="2"/>
      </rPr>
      <t>asia2</t>
    </r>
    <r>
      <rPr>
        <sz val="10"/>
        <color indexed="55"/>
        <rFont val="Arial"/>
        <family val="2"/>
      </rPr>
      <t xml:space="preserve"> NAG CHAMPA </t>
    </r>
    <r>
      <rPr>
        <b/>
        <sz val="10"/>
        <color indexed="55"/>
        <rFont val="Arial"/>
        <family val="2"/>
      </rPr>
      <t>BLAU</t>
    </r>
    <r>
      <rPr>
        <sz val="10"/>
        <color indexed="55"/>
        <rFont val="Arial"/>
        <family val="2"/>
      </rPr>
      <t xml:space="preserve"> (</t>
    </r>
    <r>
      <rPr>
        <b/>
        <sz val="10"/>
        <color indexed="55"/>
        <rFont val="Arial"/>
        <family val="2"/>
      </rPr>
      <t>15g</t>
    </r>
    <r>
      <rPr>
        <sz val="10"/>
        <color indexed="55"/>
        <rFont val="Arial"/>
        <family val="2"/>
      </rPr>
      <t>)</t>
    </r>
  </si>
  <si>
    <t>BB  weiss|blau  It</t>
  </si>
  <si>
    <t>***  Asia-2,3  SWEET TAMARIND (Ganze Schoten)  THAI</t>
  </si>
  <si>
    <t xml:space="preserve">BB  basic   Kokoschips </t>
  </si>
  <si>
    <t>ZP  osram  E27  25W</t>
  </si>
  <si>
    <t>2004-02</t>
  </si>
  <si>
    <t xml:space="preserve"> -25 %</t>
  </si>
  <si>
    <t>B13  Rapunzel kbA  pflanzlich</t>
  </si>
  <si>
    <r>
      <t xml:space="preserve">##T Sonnentor BASILIKUM  </t>
    </r>
    <r>
      <rPr>
        <sz val="12"/>
        <color indexed="14"/>
        <rFont val="Arial"/>
        <family val="2"/>
      </rPr>
      <t>Ägypten</t>
    </r>
  </si>
  <si>
    <r>
      <t xml:space="preserve">T Hildegard MUTTERKÜMMEL==CUMIN </t>
    </r>
    <r>
      <rPr>
        <sz val="12"/>
        <color indexed="14"/>
        <rFont val="Arial"/>
        <family val="2"/>
      </rPr>
      <t>gemahlen</t>
    </r>
    <r>
      <rPr>
        <sz val="12"/>
        <rFont val="Arial"/>
        <family val="2"/>
      </rPr>
      <t xml:space="preserve">  IND</t>
    </r>
  </si>
  <si>
    <t>2014-04</t>
  </si>
  <si>
    <t>#hofer naturaktiv VK Spaghetti</t>
  </si>
  <si>
    <t>%10, Nett%10</t>
  </si>
  <si>
    <r>
      <t xml:space="preserve">*  B JaN </t>
    </r>
    <r>
      <rPr>
        <b/>
        <sz val="10"/>
        <color indexed="8"/>
        <rFont val="Arial"/>
        <family val="2"/>
      </rPr>
      <t>ZuckerKarotten Ö</t>
    </r>
  </si>
  <si>
    <t>A1, Asia-1</t>
  </si>
  <si>
    <r>
      <t xml:space="preserve">  mmais   </t>
    </r>
    <r>
      <rPr>
        <b/>
        <sz val="12"/>
        <rFont val="Arial"/>
        <family val="2"/>
      </rPr>
      <t>Mais</t>
    </r>
  </si>
  <si>
    <t>PM  Salatparadeiser Ö</t>
  </si>
  <si>
    <t>lidl  Mikado U</t>
  </si>
  <si>
    <t>Ungarn</t>
  </si>
  <si>
    <t>NL</t>
  </si>
  <si>
    <r>
      <t xml:space="preserve">*** T SojVita bio </t>
    </r>
    <r>
      <rPr>
        <b/>
        <sz val="10"/>
        <color indexed="16"/>
        <rFont val="Arial"/>
        <family val="2"/>
      </rPr>
      <t>Dinkelfilets</t>
    </r>
  </si>
  <si>
    <t>T BioVita Zitronenschale (Pulver) kbA</t>
  </si>
  <si>
    <t>2006-03</t>
  </si>
  <si>
    <t>BB Oekoland  ItalienischeKräuter  tiefgefroren</t>
  </si>
  <si>
    <t>2013-11</t>
  </si>
  <si>
    <t>B13  viana  Cevapcici  kbA XXXXX</t>
  </si>
  <si>
    <t xml:space="preserve">lidl </t>
  </si>
  <si>
    <r>
      <t xml:space="preserve">****   ho "issreif"  (rötl.rauhschalig,klein) 2Stk. </t>
    </r>
    <r>
      <rPr>
        <b/>
        <sz val="10"/>
        <color indexed="14"/>
        <rFont val="Arial"/>
        <family val="2"/>
      </rPr>
      <t>PERU</t>
    </r>
  </si>
  <si>
    <t>SPAR\Koska  300 g Glas</t>
  </si>
  <si>
    <t>ET1 Hayat hell TÜRK</t>
  </si>
  <si>
    <t>AUS-05</t>
  </si>
  <si>
    <t>**  lidl   Baguette -30%</t>
  </si>
  <si>
    <t>Billigshop "sconto", X., Gudrunstr.177 (/Neilreichg.)</t>
  </si>
  <si>
    <t>sc1</t>
  </si>
  <si>
    <t>fuer ca. 1l/1kg</t>
  </si>
  <si>
    <t>B JaN Jasminreis natur THAI</t>
  </si>
  <si>
    <t>2kg</t>
  </si>
  <si>
    <t>"3 für 2"</t>
  </si>
  <si>
    <t>pagro  PAGRO  3Stk x 20g</t>
  </si>
  <si>
    <t>PETERSILWURZELN/Pastinaken</t>
  </si>
  <si>
    <t>#lidl Heimat bio Ö</t>
  </si>
  <si>
    <t>????</t>
  </si>
  <si>
    <t>lidl  Finkbräu sin   dose  D</t>
  </si>
  <si>
    <r>
      <t xml:space="preserve">***  #T  Schrott </t>
    </r>
    <r>
      <rPr>
        <b/>
        <sz val="10"/>
        <color indexed="16"/>
        <rFont val="Arial"/>
        <family val="2"/>
      </rPr>
      <t>Dinkel</t>
    </r>
    <r>
      <rPr>
        <sz val="10"/>
        <color indexed="16"/>
        <rFont val="Arial"/>
        <family val="2"/>
      </rPr>
      <t>Wanderl  (Hefe)  Ö</t>
    </r>
  </si>
  <si>
    <t>B JaN KornSemmel</t>
  </si>
  <si>
    <t>lidl Acentino A.B.Blanco  5.6%</t>
  </si>
  <si>
    <t>2020-03</t>
  </si>
  <si>
    <t>ho NaturAktiv OREGANO  Ö/Peru</t>
  </si>
  <si>
    <t>ho NaturAktiv MAJORAN  Peru/Ägypten</t>
  </si>
  <si>
    <t>ho Gusto Kümmel ganz</t>
  </si>
  <si>
    <t>SavetecSwiss via Az INTENSO</t>
  </si>
  <si>
    <r>
      <t xml:space="preserve">BB  NaturalCool </t>
    </r>
    <r>
      <rPr>
        <b/>
        <i/>
        <sz val="11"/>
        <color indexed="8"/>
        <rFont val="Arial"/>
        <family val="2"/>
      </rPr>
      <t>demeter</t>
    </r>
    <r>
      <rPr>
        <b/>
        <sz val="10"/>
        <color indexed="8"/>
        <rFont val="Arial"/>
        <family val="2"/>
      </rPr>
      <t xml:space="preserve"> BlattSpinat </t>
    </r>
  </si>
  <si>
    <t>Schlecker  wowii SportSocken 90%BW+10%Polyamid 43-46</t>
  </si>
  <si>
    <t>SHIITAKE PILZE (getrocknet)</t>
  </si>
  <si>
    <t>hofer MultiNorm  Multivitamin</t>
  </si>
  <si>
    <t>2019-03</t>
  </si>
  <si>
    <t>**   #ho  ZZU Kürbiskernbrot</t>
  </si>
  <si>
    <t xml:space="preserve"> dm dgPlus Multivitamin</t>
  </si>
  <si>
    <t>BB Sonnentor Estragon D</t>
  </si>
  <si>
    <t>dm  ASCORBINSÄURE</t>
  </si>
  <si>
    <t>2013-05</t>
  </si>
  <si>
    <r>
      <t>RR</t>
    </r>
    <r>
      <rPr>
        <b/>
        <sz val="12"/>
        <rFont val="Arial"/>
        <family val="2"/>
      </rPr>
      <t>RADICCHIO</t>
    </r>
  </si>
  <si>
    <r>
      <t>KP1 BestChoice 6x33mx</t>
    </r>
    <r>
      <rPr>
        <b/>
        <sz val="10"/>
        <rFont val="Arial"/>
        <family val="2"/>
      </rPr>
      <t>12mm</t>
    </r>
  </si>
  <si>
    <r>
      <t xml:space="preserve">lidl Roggenbrot </t>
    </r>
    <r>
      <rPr>
        <b/>
        <sz val="10"/>
        <color indexed="14"/>
        <rFont val="Arial"/>
        <family val="2"/>
      </rPr>
      <t>Dextrose</t>
    </r>
  </si>
  <si>
    <r>
      <t xml:space="preserve">lidl Roggenbrot </t>
    </r>
    <r>
      <rPr>
        <sz val="10"/>
        <color indexed="14"/>
        <rFont val="Arial"/>
        <family val="2"/>
      </rPr>
      <t>Dextrose</t>
    </r>
  </si>
  <si>
    <t>dm: bio SojaSchentzel FEIN</t>
  </si>
  <si>
    <t>##T N&amp;R WeizenVollMehl kbA</t>
  </si>
  <si>
    <t>T Vollwert Vollkorn Herkunft+Abfüllung Ö</t>
  </si>
  <si>
    <t>denns  Rapunzel</t>
  </si>
  <si>
    <t>denns  viana  ChikinFilets kbA</t>
  </si>
  <si>
    <t>denns  viana  FRÜHLINGSROLLEN kbA</t>
  </si>
  <si>
    <t xml:space="preserve">m.asia MountElephant LYCHEES in Sirup (CHINA) </t>
  </si>
  <si>
    <t>B13  Rapunzel  D</t>
  </si>
  <si>
    <t xml:space="preserve">PM  Jansen </t>
  </si>
  <si>
    <t>T N&amp;R DinkelKoch kbA</t>
  </si>
  <si>
    <t>MANDEL-MUS</t>
  </si>
  <si>
    <t>##T Rapunzel mild (desoeriert)</t>
  </si>
  <si>
    <t>WASCHMITTEL</t>
  </si>
  <si>
    <t>BB Basic Feigen bio</t>
  </si>
  <si>
    <r>
      <t xml:space="preserve">TOMSSSafts  </t>
    </r>
    <r>
      <rPr>
        <b/>
        <sz val="12"/>
        <rFont val="Arial"/>
        <family val="2"/>
      </rPr>
      <t xml:space="preserve"> TOMATENSAFT</t>
    </r>
  </si>
  <si>
    <t>Spar Rauch/HappyDay</t>
  </si>
  <si>
    <r>
      <t xml:space="preserve">V-RB -- DULCE, </t>
    </r>
    <r>
      <rPr>
        <b/>
        <sz val="10"/>
        <color indexed="14"/>
        <rFont val="Arial"/>
        <family val="2"/>
      </rPr>
      <t>Extrakt,  in Wasser, mit Glycerin,</t>
    </r>
    <r>
      <rPr>
        <b/>
        <sz val="10"/>
        <color indexed="12"/>
        <rFont val="Arial"/>
        <family val="2"/>
      </rPr>
      <t xml:space="preserve"> G&amp;L</t>
    </r>
  </si>
  <si>
    <t>Z (Meidling/U4)</t>
  </si>
  <si>
    <t>Mo-Fr 9-18</t>
  </si>
  <si>
    <t>Z (7Brunneplatz)</t>
  </si>
  <si>
    <t>Mo-Fr 8-15,  Do: -17:30</t>
  </si>
  <si>
    <t>Z (Wienerberg)</t>
  </si>
  <si>
    <t>2014-08</t>
  </si>
  <si>
    <r>
      <t xml:space="preserve">B13  </t>
    </r>
    <r>
      <rPr>
        <b/>
        <i/>
        <sz val="10"/>
        <rFont val="Arial"/>
        <family val="2"/>
      </rPr>
      <t>MONKI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MANDELMUS</t>
    </r>
    <r>
      <rPr>
        <sz val="10"/>
        <rFont val="Arial"/>
        <family val="0"/>
      </rPr>
      <t xml:space="preserve">  bio </t>
    </r>
  </si>
  <si>
    <r>
      <t xml:space="preserve">EEXX  </t>
    </r>
    <r>
      <rPr>
        <b/>
        <sz val="10"/>
        <rFont val="Arial"/>
        <family val="2"/>
      </rPr>
      <t xml:space="preserve">'BB  </t>
    </r>
    <r>
      <rPr>
        <b/>
        <sz val="10"/>
        <color indexed="14"/>
        <rFont val="Arial"/>
        <family val="2"/>
      </rPr>
      <t>basic</t>
    </r>
    <r>
      <rPr>
        <b/>
        <sz val="10"/>
        <rFont val="Arial"/>
        <family val="2"/>
      </rPr>
      <t xml:space="preserve">  Grüne m.K.  </t>
    </r>
  </si>
  <si>
    <t>BB -BIO-Wassermelone Esp</t>
  </si>
  <si>
    <r>
      <t>jjjj</t>
    </r>
    <r>
      <rPr>
        <b/>
        <sz val="13"/>
        <color indexed="14"/>
        <rFont val="Arial"/>
        <family val="2"/>
      </rPr>
      <t>JUNK</t>
    </r>
    <r>
      <rPr>
        <b/>
        <sz val="13"/>
        <color indexed="12"/>
        <rFont val="Arial"/>
        <family val="2"/>
      </rPr>
      <t xml:space="preserve">  (blau=vegan)</t>
    </r>
  </si>
  <si>
    <t>ZP  Null,Josef  Fl.</t>
  </si>
  <si>
    <r>
      <t xml:space="preserve">***   m.asia </t>
    </r>
    <r>
      <rPr>
        <b/>
        <sz val="10"/>
        <color indexed="16"/>
        <rFont val="Arial"/>
        <family val="2"/>
      </rPr>
      <t>HEM</t>
    </r>
    <r>
      <rPr>
        <sz val="10"/>
        <color indexed="16"/>
        <rFont val="Arial"/>
        <family val="2"/>
      </rPr>
      <t xml:space="preserve"> NAG CHAMPA </t>
    </r>
  </si>
  <si>
    <t>#hofer zzU bio Ö</t>
  </si>
  <si>
    <t>B JaN BlattSpinat minis  blanchiert+tiefgekühlt</t>
  </si>
  <si>
    <t>***  spar  gemischt kernlos It</t>
  </si>
  <si>
    <t>2006-05</t>
  </si>
  <si>
    <t>SüßLUPINEN-Mehl</t>
  </si>
  <si>
    <t>Bizim  Koska hell Türk</t>
  </si>
  <si>
    <t>Bizim  Ece hell Türk</t>
  </si>
  <si>
    <t>*** denns Naturgarten Mitoku  MAITAKE  Grifola fondosa (?JAP)</t>
  </si>
  <si>
    <t>BB  Rapunzel kbA</t>
  </si>
  <si>
    <t>angebot</t>
  </si>
  <si>
    <t xml:space="preserve">m.asia  "Royal Thai"  </t>
  </si>
  <si>
    <t>2011-02</t>
  </si>
  <si>
    <t>T Nelke gemahlen kbA Madagaskar</t>
  </si>
  <si>
    <t>#B13  Hermes  mehlig  Ö</t>
  </si>
  <si>
    <t>##T  ilnutrimento  Kleingehackt  400g Dose It</t>
  </si>
  <si>
    <t>pagro  PAGRO  2x10g</t>
  </si>
  <si>
    <t>Bi JaN Basismüsli</t>
  </si>
  <si>
    <r>
      <t>zzzzzzz</t>
    </r>
    <r>
      <rPr>
        <b/>
        <sz val="12"/>
        <rFont val="Arial"/>
        <family val="2"/>
      </rPr>
      <t>ZITRONADE</t>
    </r>
  </si>
  <si>
    <t>***(*)   PM GRÜN "LaGranata"</t>
  </si>
  <si>
    <t>#hofer  ZZU "Wurzelbrot" (Weizen) Vortag</t>
  </si>
  <si>
    <t>#hofer naturaktiv VK /Penne/Fusilli</t>
  </si>
  <si>
    <t>sc4    ~Schlauch</t>
  </si>
  <si>
    <t>T sonnentor SCHNITTLAUCH kbA</t>
  </si>
  <si>
    <t>amazon-Dittmann Kalamat m.Stein</t>
  </si>
  <si>
    <t>NE</t>
  </si>
  <si>
    <t>EU</t>
  </si>
  <si>
    <t>FR</t>
  </si>
  <si>
    <t>FRankreich</t>
  </si>
  <si>
    <t>EUroland</t>
  </si>
  <si>
    <t>Ameisensäue</t>
  </si>
  <si>
    <r>
      <t>***  m.asia  HEM * (</t>
    </r>
    <r>
      <rPr>
        <b/>
        <sz val="10"/>
        <color indexed="55"/>
        <rFont val="Arial"/>
        <family val="2"/>
      </rPr>
      <t>KEIN Rose</t>
    </r>
    <r>
      <rPr>
        <b/>
        <sz val="10"/>
        <color indexed="12"/>
        <rFont val="Arial"/>
        <family val="2"/>
      </rPr>
      <t xml:space="preserve">)  </t>
    </r>
  </si>
  <si>
    <t>??$</t>
  </si>
  <si>
    <t>Foto-Video.at  Alserbachstr.</t>
  </si>
  <si>
    <t>400ml</t>
  </si>
  <si>
    <t>ho  dentofit mint|sensitive/ultracool  500ml</t>
  </si>
  <si>
    <t>ho  Semmeln (3 Stk.) Vortag  Ö</t>
  </si>
  <si>
    <t>ho  NaturAktiv    geschälte,gehackte T.(60%)+T.Saft</t>
  </si>
  <si>
    <r>
      <t xml:space="preserve">#d  Naturmühle </t>
    </r>
    <r>
      <rPr>
        <b/>
        <sz val="10"/>
        <color indexed="22"/>
        <rFont val="Arial"/>
        <family val="2"/>
      </rPr>
      <t>"FeelGood" Chili</t>
    </r>
    <r>
      <rPr>
        <sz val="10"/>
        <color indexed="22"/>
        <rFont val="Arial"/>
        <family val="2"/>
      </rPr>
      <t xml:space="preserve"> A</t>
    </r>
  </si>
  <si>
    <t>Nährwert-Abschätzung</t>
  </si>
  <si>
    <t>HUMMUS</t>
  </si>
  <si>
    <t>Kichererbsen</t>
  </si>
  <si>
    <r>
      <t xml:space="preserve">*- </t>
    </r>
    <r>
      <rPr>
        <sz val="10"/>
        <color indexed="22"/>
        <rFont val="Arial"/>
        <family val="2"/>
      </rPr>
      <t xml:space="preserve"> d Naturmühle "FeelGood" Pizza A</t>
    </r>
  </si>
  <si>
    <t>***   #m.asia SATYA NAG CHAMPA BLAU (40g; ..Stk)</t>
  </si>
  <si>
    <t>X., Neilreichgasse 18, Nazmi Erol KEG</t>
  </si>
  <si>
    <t>billa   mini   Esp</t>
  </si>
  <si>
    <t>merkur  JaN  kbA</t>
  </si>
  <si>
    <t>ETSAN (Basak Handels GmbH) 1120 Arndtstr. 90</t>
  </si>
  <si>
    <r>
      <t>hofer  Apfelstrudel  (</t>
    </r>
    <r>
      <rPr>
        <b/>
        <sz val="8"/>
        <color indexed="20"/>
        <rFont val="Arial"/>
        <family val="2"/>
      </rPr>
      <t>Zucker, Kaliumsorbat</t>
    </r>
    <r>
      <rPr>
        <b/>
        <sz val="8"/>
        <color indexed="12"/>
        <rFont val="Arial"/>
        <family val="2"/>
      </rPr>
      <t xml:space="preserve"> aber vegan)</t>
    </r>
  </si>
  <si>
    <t>Mo-Fr 7:15-19:30  Sa 7:15-18</t>
  </si>
  <si>
    <t>Aktion</t>
  </si>
  <si>
    <r>
      <t xml:space="preserve">B13  Eisblumerl </t>
    </r>
    <r>
      <rPr>
        <b/>
        <sz val="10"/>
        <rFont val="Arial"/>
        <family val="2"/>
      </rPr>
      <t>KÜRBISKERNMUS</t>
    </r>
    <r>
      <rPr>
        <sz val="10"/>
        <rFont val="Arial"/>
        <family val="0"/>
      </rPr>
      <t xml:space="preserve">  bio </t>
    </r>
  </si>
  <si>
    <t>MISO</t>
  </si>
  <si>
    <t>Mo 11-19, Di+Do 14-18 Fr 14-18</t>
  </si>
  <si>
    <r>
      <t xml:space="preserve">##T sonnentor </t>
    </r>
    <r>
      <rPr>
        <b/>
        <i/>
        <sz val="12"/>
        <color indexed="8"/>
        <rFont val="Arial"/>
        <family val="2"/>
      </rPr>
      <t>demeter</t>
    </r>
    <r>
      <rPr>
        <b/>
        <sz val="12"/>
        <color indexed="8"/>
        <rFont val="Arial"/>
        <family val="2"/>
      </rPr>
      <t xml:space="preserve"> PETERSILIE  Ö</t>
    </r>
  </si>
  <si>
    <t>BB  basic braune  bio</t>
  </si>
  <si>
    <t>2015-03</t>
  </si>
  <si>
    <t>RU</t>
  </si>
  <si>
    <t>RUMÄNIEN</t>
  </si>
  <si>
    <t>2022-11</t>
  </si>
  <si>
    <r>
      <t xml:space="preserve">ho  cucinaNobile  </t>
    </r>
    <r>
      <rPr>
        <b/>
        <sz val="10"/>
        <color indexed="40"/>
        <rFont val="Arial"/>
        <family val="2"/>
      </rPr>
      <t>"dreifach"</t>
    </r>
    <r>
      <rPr>
        <sz val="10"/>
        <color indexed="40"/>
        <rFont val="Arial"/>
        <family val="2"/>
      </rPr>
      <t xml:space="preserve"> Tube  It</t>
    </r>
  </si>
  <si>
    <t>AMAZON-Naturix24  Korianderblätter gerebelt</t>
  </si>
  <si>
    <t>denns  D1 (Kaiserstr.)</t>
  </si>
  <si>
    <t>denns  D3 (WiednerHs.)</t>
  </si>
  <si>
    <r>
      <t xml:space="preserve">B13  </t>
    </r>
    <r>
      <rPr>
        <i/>
        <sz val="10"/>
        <color indexed="22"/>
        <rFont val="Arial"/>
        <family val="2"/>
      </rPr>
      <t>MONKI (m.Salz)</t>
    </r>
    <r>
      <rPr>
        <sz val="10"/>
        <color indexed="22"/>
        <rFont val="Arial"/>
        <family val="2"/>
      </rPr>
      <t xml:space="preserve"> bio </t>
    </r>
  </si>
  <si>
    <t>gibz beim PAGRO !</t>
  </si>
  <si>
    <t>denns SpielB  demeter Polenta</t>
  </si>
  <si>
    <t>BB SojVita DIJONSENF kbA</t>
  </si>
  <si>
    <t>2011-11</t>
  </si>
  <si>
    <r>
      <t xml:space="preserve">BB  Butternut  </t>
    </r>
    <r>
      <rPr>
        <b/>
        <i/>
        <sz val="11"/>
        <color indexed="22"/>
        <rFont val="Arial"/>
        <family val="2"/>
      </rPr>
      <t>demeter</t>
    </r>
    <r>
      <rPr>
        <b/>
        <sz val="10"/>
        <color indexed="22"/>
        <rFont val="Arial"/>
        <family val="2"/>
      </rPr>
      <t xml:space="preserve">  Ö</t>
    </r>
  </si>
  <si>
    <t>##T Vollkraft kbA</t>
  </si>
  <si>
    <t>Birlik  Koska   hell TÜRK</t>
  </si>
  <si>
    <r>
      <t xml:space="preserve">N&amp;R Bogataj Thomas, XII., </t>
    </r>
    <r>
      <rPr>
        <b/>
        <i/>
        <sz val="12"/>
        <color indexed="10"/>
        <rFont val="Arial"/>
        <family val="2"/>
      </rPr>
      <t>T</t>
    </r>
    <r>
      <rPr>
        <b/>
        <i/>
        <sz val="12"/>
        <rFont val="Arial"/>
        <family val="2"/>
      </rPr>
      <t>ivoligasse 2 (/Meidl.hauptstr.)</t>
    </r>
  </si>
  <si>
    <r>
      <t xml:space="preserve">ho NaturAktiv BASILIKUM  </t>
    </r>
    <r>
      <rPr>
        <b/>
        <sz val="12"/>
        <color indexed="14"/>
        <rFont val="Arial"/>
        <family val="2"/>
      </rPr>
      <t>Ägypten</t>
    </r>
  </si>
  <si>
    <t>micro-Löffel Guarana</t>
  </si>
  <si>
    <t>mini-Löffel Guarana</t>
  </si>
  <si>
    <t>mg C</t>
  </si>
  <si>
    <t>?D</t>
  </si>
  <si>
    <t>ESPania</t>
  </si>
  <si>
    <r>
      <t xml:space="preserve">dm alnatura </t>
    </r>
    <r>
      <rPr>
        <sz val="10"/>
        <color indexed="14"/>
        <rFont val="Arial"/>
        <family val="2"/>
      </rPr>
      <t>"ZwiebelSchmalz"</t>
    </r>
  </si>
  <si>
    <t>2016-10</t>
  </si>
  <si>
    <t>BB  Karotten Bund  Ö</t>
  </si>
  <si>
    <t>***  ho  ZZU    Ö</t>
  </si>
  <si>
    <t>hofer CucinaNobile 400g Dose</t>
  </si>
  <si>
    <t>Restposten</t>
  </si>
  <si>
    <t>ho  Gusto edelsüß kA</t>
  </si>
  <si>
    <t xml:space="preserve"> Birkengold Zartbitter zuckerfrei Xylit FT  55%  prokopp.co.at</t>
  </si>
  <si>
    <t>hofer bioNatura gehackte Tomaten 400g Dose</t>
  </si>
  <si>
    <r>
      <t xml:space="preserve">ttttttofu  </t>
    </r>
    <r>
      <rPr>
        <b/>
        <sz val="12"/>
        <rFont val="Arial"/>
        <family val="2"/>
      </rPr>
      <t>GEWÜRZ-TOFU</t>
    </r>
  </si>
  <si>
    <t>2023-03</t>
  </si>
  <si>
    <t>amazoz-DAMPFGARTEN 800g dose</t>
  </si>
  <si>
    <t>AMZON\-KOSKA</t>
  </si>
  <si>
    <t>SPAR dreifach</t>
  </si>
  <si>
    <t>Stücklberger, ALMAVIN CLEARCUT flüssig</t>
  </si>
  <si>
    <t>CREMA de CALABAZA con PUERROS  GallinaBlanca</t>
  </si>
  <si>
    <t>m.asia  TAMARIND  ME CHUA   (Mus m.wenig Kernen) (THAI)</t>
  </si>
  <si>
    <t>T  Country kbA  (?)</t>
  </si>
  <si>
    <t>SM</t>
  </si>
  <si>
    <t>MS</t>
  </si>
  <si>
    <t>dm alnatura VK Linguine</t>
  </si>
  <si>
    <t>MaisMalz</t>
  </si>
  <si>
    <t>TROCKENFRÜCHTE</t>
  </si>
  <si>
    <t>Mo-Mi 10-13+14-18  Do+Fr 10-13+14-19  Sa 10-16</t>
  </si>
  <si>
    <t>Mo-Fr 11-19</t>
  </si>
  <si>
    <t>SBW(?) - V.</t>
  </si>
  <si>
    <t>T Vollwert kbA</t>
  </si>
  <si>
    <t>****  m.asia HEM  Lily</t>
  </si>
  <si>
    <t>Zitronensäure</t>
  </si>
  <si>
    <t>billa  JaN  Ö</t>
  </si>
  <si>
    <t>** ##T Hiel WeizenFilet</t>
  </si>
  <si>
    <t>BAYER</t>
  </si>
  <si>
    <t xml:space="preserve">  K  aufen</t>
  </si>
  <si>
    <t>2006-09</t>
  </si>
  <si>
    <t>dunkelblau =  AUCH  biologisches</t>
  </si>
  <si>
    <t>2116-11</t>
  </si>
  <si>
    <t xml:space="preserve">ILM (sc3) </t>
  </si>
  <si>
    <t>ho ... Kümmel ganz (glas)</t>
  </si>
  <si>
    <t>d1, d3   dennree filterfein</t>
  </si>
  <si>
    <t>dm  Alnatura    Kichererbsen  350g Glas</t>
  </si>
  <si>
    <t>2008-10</t>
  </si>
  <si>
    <t>Bi  JN  Spitz Ö</t>
  </si>
  <si>
    <t>***  ho  ZZU  Rispen~    Ö</t>
  </si>
  <si>
    <t>2007-12</t>
  </si>
  <si>
    <r>
      <t xml:space="preserve">kkkbkkkbkbnöbb  </t>
    </r>
    <r>
      <rPr>
        <b/>
        <sz val="12"/>
        <rFont val="Arial"/>
        <family val="2"/>
      </rPr>
      <t>semmelwürfel / KNÖDELBROT</t>
    </r>
  </si>
  <si>
    <t>SLO</t>
  </si>
  <si>
    <t>T sonnentor LIEBSTÖCKL CZ</t>
  </si>
  <si>
    <t>***   #m.asia Goloka NAG CHAMPA  GELB (40g; ??Stk.)</t>
  </si>
  <si>
    <t>***  ho Traubensaftdirekt weiß/rot</t>
  </si>
  <si>
    <t>190 g BUTANGAS Stech-Kartusche</t>
  </si>
  <si>
    <t>AMAZON</t>
  </si>
  <si>
    <r>
      <t xml:space="preserve">B JaN </t>
    </r>
    <r>
      <rPr>
        <b/>
        <sz val="10"/>
        <color indexed="17"/>
        <rFont val="Arial"/>
        <family val="2"/>
      </rPr>
      <t>ORANGENSAFT</t>
    </r>
    <r>
      <rPr>
        <sz val="10"/>
        <color indexed="17"/>
        <rFont val="Arial"/>
        <family val="2"/>
      </rPr>
      <t xml:space="preserve"> kbA naturtrüb  Tetrapack BRA</t>
    </r>
  </si>
  <si>
    <t>##T  Vollkraft (Pl.Kübel)</t>
  </si>
  <si>
    <t>***  SPAR\Budget</t>
  </si>
  <si>
    <t>**  hofer tetra</t>
  </si>
  <si>
    <r>
      <t>cccccC</t>
    </r>
    <r>
      <rPr>
        <b/>
        <sz val="14"/>
        <color indexed="8"/>
        <rFont val="Arial"/>
        <family val="2"/>
      </rPr>
      <t>Champignons</t>
    </r>
  </si>
  <si>
    <t>EG69  LR44</t>
  </si>
  <si>
    <t>2011-04</t>
  </si>
  <si>
    <t>Billa  Schlossgold dose.</t>
  </si>
  <si>
    <t>aus?</t>
  </si>
  <si>
    <t>TH, THAI</t>
  </si>
  <si>
    <t>BB bio Ö</t>
  </si>
  <si>
    <t>hofer GartenKrome weiße Bohnen 800g Dose</t>
  </si>
  <si>
    <t>2015-05</t>
  </si>
  <si>
    <t xml:space="preserve">(-) T Lima </t>
  </si>
  <si>
    <r>
      <t xml:space="preserve">B JaN </t>
    </r>
    <r>
      <rPr>
        <b/>
        <sz val="10"/>
        <color indexed="55"/>
        <rFont val="Arial"/>
        <family val="2"/>
      </rPr>
      <t>A/B(50+50)-SAFT</t>
    </r>
    <r>
      <rPr>
        <sz val="10"/>
        <color indexed="55"/>
        <rFont val="Arial"/>
        <family val="2"/>
      </rPr>
      <t xml:space="preserve"> kbA naturtrüber Direktsaft TetraPack Ö</t>
    </r>
  </si>
  <si>
    <t>RegenBogen (Villach)</t>
  </si>
  <si>
    <t>EQU, ECU</t>
  </si>
  <si>
    <t>AMAZON Eisblümerl bio 100% Sesam ungeschält</t>
  </si>
  <si>
    <t>war FÖRDERNSWERT/umgebaut101606</t>
  </si>
  <si>
    <t>B13 SojVita Seitan Spezial</t>
  </si>
  <si>
    <t xml:space="preserve"> Bi ruma ZITRONENSÄURE</t>
  </si>
  <si>
    <t>L Kania</t>
  </si>
  <si>
    <t xml:space="preserve">B13 Rapunzel  Kokoschips </t>
  </si>
  <si>
    <t>g Al / l</t>
  </si>
  <si>
    <t>##T  STEVIAEXTRAKT VollKraft</t>
  </si>
  <si>
    <t>Restmenge verbilligt</t>
  </si>
  <si>
    <t>dennree  Basilikum Tofo</t>
  </si>
  <si>
    <r>
      <t xml:space="preserve">#BB  Spielberger </t>
    </r>
    <r>
      <rPr>
        <b/>
        <i/>
        <sz val="11"/>
        <rFont val="Arial"/>
        <family val="2"/>
      </rPr>
      <t>demeter</t>
    </r>
  </si>
  <si>
    <t>##T  Sonnentor LORBEER  Türk</t>
  </si>
  <si>
    <t>m.asia  Bright  YANANG leavs extract  (THAI)</t>
  </si>
  <si>
    <t>BB  basic</t>
  </si>
  <si>
    <r>
      <t>**-</t>
    </r>
    <r>
      <rPr>
        <sz val="10"/>
        <color indexed="8"/>
        <rFont val="Arial"/>
        <family val="2"/>
      </rPr>
      <t xml:space="preserve">  d  Taifun Tofritto Ka pern/Paprika</t>
    </r>
  </si>
  <si>
    <r>
      <t>**-</t>
    </r>
    <r>
      <rPr>
        <sz val="10"/>
        <color indexed="8"/>
        <rFont val="Arial"/>
        <family val="2"/>
      </rPr>
      <t xml:space="preserve">  BB  Taifun Tofritto Ka pern/Paprika</t>
    </r>
  </si>
  <si>
    <r>
      <t xml:space="preserve">T Mani in </t>
    </r>
    <r>
      <rPr>
        <sz val="10"/>
        <color indexed="14"/>
        <rFont val="Arial"/>
        <family val="2"/>
      </rPr>
      <t>Olivenöl</t>
    </r>
  </si>
  <si>
    <t>SAFRAN  kbA  "echt"</t>
  </si>
  <si>
    <t>denns  viana  TOFU-GEMÜSESCHNITZERL kbA</t>
  </si>
  <si>
    <t>XYLITOL, Xylit, "Birkenzucker"</t>
  </si>
  <si>
    <r>
      <t xml:space="preserve">PM  penny  </t>
    </r>
    <r>
      <rPr>
        <sz val="10"/>
        <color indexed="14"/>
        <rFont val="Arial"/>
        <family val="2"/>
      </rPr>
      <t>salzstangerl</t>
    </r>
    <r>
      <rPr>
        <sz val="10"/>
        <color indexed="12"/>
        <rFont val="Arial"/>
        <family val="2"/>
      </rPr>
      <t xml:space="preserve"> (sticks)</t>
    </r>
  </si>
  <si>
    <t>PM covo Haselnuss-Mignon</t>
  </si>
  <si>
    <r>
      <t>Korianderkraut</t>
    </r>
    <r>
      <rPr>
        <b/>
        <sz val="10"/>
        <color indexed="8"/>
        <rFont val="Arial"/>
        <family val="2"/>
      </rPr>
      <t xml:space="preserve"> </t>
    </r>
    <r>
      <rPr>
        <b/>
        <sz val="10"/>
        <rFont val="Arial"/>
        <family val="2"/>
      </rPr>
      <t xml:space="preserve"> getrocknet</t>
    </r>
  </si>
  <si>
    <t>**  denns - Rapunzel</t>
  </si>
  <si>
    <t>denns - Rapunzel</t>
  </si>
  <si>
    <t>*** hofer ZZU Dinkel-Roggenbrot Vortag</t>
  </si>
  <si>
    <t>** hofer ZZU Roggenloab</t>
  </si>
  <si>
    <t>****  #ho   ZZU  Ö</t>
  </si>
  <si>
    <t>2001-04</t>
  </si>
  <si>
    <t>ho  (21%F)</t>
  </si>
  <si>
    <t>B  IPOSEA   400ml-Dose</t>
  </si>
  <si>
    <t>2012-09</t>
  </si>
  <si>
    <t>***  billa EgaVita</t>
  </si>
  <si>
    <t>striped</t>
  </si>
  <si>
    <r>
      <t xml:space="preserve">SSTEVIA   </t>
    </r>
    <r>
      <rPr>
        <b/>
        <sz val="12"/>
        <color indexed="16"/>
        <rFont val="Arial"/>
        <family val="2"/>
      </rPr>
      <t xml:space="preserve">  STEVIA Rebaudiana     BLÄTTER</t>
    </r>
  </si>
  <si>
    <t>oekologia</t>
  </si>
  <si>
    <t>EG69   recycled  8x250</t>
  </si>
  <si>
    <t xml:space="preserve">Billigshop, XII., MeidlingerHauptstr.  16-18  </t>
  </si>
  <si>
    <r>
      <t>g</t>
    </r>
    <r>
      <rPr>
        <sz val="10"/>
        <color indexed="18"/>
        <rFont val="Arial"/>
        <family val="2"/>
      </rPr>
      <t xml:space="preserve">  </t>
    </r>
    <r>
      <rPr>
        <sz val="10"/>
        <color indexed="8"/>
        <rFont val="Arial"/>
        <family val="2"/>
      </rPr>
      <t>||</t>
    </r>
    <r>
      <rPr>
        <sz val="10"/>
        <color indexed="18"/>
        <rFont val="Arial"/>
        <family val="2"/>
      </rPr>
      <t xml:space="preserve">  Stk</t>
    </r>
  </si>
  <si>
    <t>***  hofer ZZU [Dinkel]-"Haferflocken(16%)brot"  Ö</t>
  </si>
  <si>
    <t>-50%</t>
  </si>
  <si>
    <t>billa  clever 40%</t>
  </si>
  <si>
    <t>**   #ho  ZZU Karottenbrot  aus Wien</t>
  </si>
  <si>
    <t>B13  Sonenntor PFEFFER schwarz    "D"</t>
  </si>
  <si>
    <t>B13 Sonnentor KORIANDER Samen ganz Ö</t>
  </si>
  <si>
    <r>
      <t xml:space="preserve">T </t>
    </r>
    <r>
      <rPr>
        <b/>
        <sz val="10"/>
        <color indexed="55"/>
        <rFont val="Arial"/>
        <family val="2"/>
      </rPr>
      <t>SojVita</t>
    </r>
    <r>
      <rPr>
        <sz val="10"/>
        <color indexed="55"/>
        <rFont val="Arial"/>
        <family val="2"/>
      </rPr>
      <t xml:space="preserve"> (bestellt)</t>
    </r>
  </si>
  <si>
    <t xml:space="preserve">digiware.eu    PLATINUM DVD-R 4,7 GB </t>
  </si>
  <si>
    <t xml:space="preserve">billa JaN WeizenVollMehl </t>
  </si>
  <si>
    <t>abgelaufen</t>
  </si>
  <si>
    <t xml:space="preserve">http://www.oekokiste.com/adamah   ist nicht mehr aktiv ! </t>
  </si>
  <si>
    <t>2008-05</t>
  </si>
  <si>
    <t>EG69  Viva Freizeitsocke  BW90+PA10  65g</t>
  </si>
  <si>
    <t>www.sojvita.at Tahin</t>
  </si>
  <si>
    <t>zielpunkt</t>
  </si>
  <si>
    <t>BB Sonenntor BOCKSHORNKLEE  Keimsaat kbA Ö</t>
  </si>
  <si>
    <t>?aus</t>
  </si>
  <si>
    <t xml:space="preserve">  A  lles</t>
  </si>
  <si>
    <t>09: aus</t>
  </si>
  <si>
    <t>***  BB  Taifun  TOFU  Basilico</t>
  </si>
  <si>
    <t>!!ACHTUNG!!  !!</t>
  </si>
  <si>
    <r>
      <t xml:space="preserve">T </t>
    </r>
    <r>
      <rPr>
        <b/>
        <sz val="10"/>
        <rFont val="Arial"/>
        <family val="2"/>
      </rPr>
      <t>SojVita</t>
    </r>
    <r>
      <rPr>
        <sz val="10"/>
        <rFont val="Arial"/>
        <family val="0"/>
      </rPr>
      <t xml:space="preserve"> (bestellt)</t>
    </r>
  </si>
  <si>
    <t>dm  alnatura Shiitake-pastete</t>
  </si>
  <si>
    <t>MSG=MonoSodiumGlutamate</t>
  </si>
  <si>
    <t>{Na2|NaH}CO3</t>
  </si>
  <si>
    <t>2016-01</t>
  </si>
  <si>
    <t>*-*  B13 Tofutti vanille</t>
  </si>
  <si>
    <t>(***)   T  LaSelva in Weinessig</t>
  </si>
  <si>
    <t>**   BB  basic  Rund/Lang-korn natur (braun)  It</t>
  </si>
  <si>
    <t>2015-04</t>
  </si>
  <si>
    <t>Bi  JaN Kornbaguette</t>
  </si>
  <si>
    <r>
      <t xml:space="preserve">***   Asia-2 </t>
    </r>
    <r>
      <rPr>
        <b/>
        <sz val="10"/>
        <color indexed="55"/>
        <rFont val="Arial"/>
        <family val="2"/>
      </rPr>
      <t>GOLDEN</t>
    </r>
    <r>
      <rPr>
        <sz val="10"/>
        <color indexed="55"/>
        <rFont val="Arial"/>
        <family val="2"/>
      </rPr>
      <t xml:space="preserve"> NAG CHAMPA  </t>
    </r>
    <r>
      <rPr>
        <b/>
        <sz val="10"/>
        <color indexed="55"/>
        <rFont val="Arial"/>
        <family val="2"/>
      </rPr>
      <t>ROT</t>
    </r>
    <r>
      <rPr>
        <sz val="10"/>
        <color indexed="55"/>
        <rFont val="Arial"/>
        <family val="2"/>
      </rPr>
      <t xml:space="preserve"> (20g; 38Stk.)</t>
    </r>
  </si>
  <si>
    <t>***  #hofer  ZZU bio Mohn(5%)-Kornweckerl 3x80g</t>
  </si>
  <si>
    <t>denns dennree  ?Ägypten</t>
  </si>
  <si>
    <t>denns dennree NEU</t>
  </si>
  <si>
    <t>***  #denns dennree  geräuchert</t>
  </si>
  <si>
    <t xml:space="preserve">      </t>
  </si>
  <si>
    <r>
      <t xml:space="preserve">##T Rapunzel </t>
    </r>
    <r>
      <rPr>
        <b/>
        <sz val="10"/>
        <rFont val="Arial"/>
        <family val="2"/>
      </rPr>
      <t>KokosRaspeln</t>
    </r>
    <r>
      <rPr>
        <sz val="10"/>
        <rFont val="Arial"/>
        <family val="2"/>
      </rPr>
      <t xml:space="preserve">  SRL</t>
    </r>
  </si>
  <si>
    <t>J  klein demeter Spielberger</t>
  </si>
  <si>
    <t xml:space="preserve">BB  Blätter ?VollKraft? </t>
  </si>
  <si>
    <t>Lidl Kerzen E14 25W</t>
  </si>
  <si>
    <t>** ho  ZZU Roggenlaib mit Vollkorn Mühlviertel Vortag</t>
  </si>
  <si>
    <t>ho  BIO Orangen It</t>
  </si>
  <si>
    <t xml:space="preserve">lidl HON </t>
  </si>
  <si>
    <t>hofer  lose  PERU/HON</t>
  </si>
  <si>
    <t>HON</t>
  </si>
  <si>
    <t>HONduras</t>
  </si>
  <si>
    <t>GRiechenland</t>
  </si>
  <si>
    <t>PAGRO   CR 2032</t>
  </si>
  <si>
    <t>2010-07</t>
  </si>
  <si>
    <t>m.asia  TRS  Qasuro Methi</t>
  </si>
  <si>
    <t>m.asia  MU-ER, black fungus, NAM MEO THAI</t>
  </si>
  <si>
    <t>***   #m.asia Goloka NAG CHAMPA  BLAU/GELB (15g; 22Stk.)</t>
  </si>
  <si>
    <t>TSCHECHIEN</t>
  </si>
  <si>
    <t>AMAZON Alnatura  Bio Pumpernickel</t>
  </si>
  <si>
    <t>d  bio-verde  BÄRLAUCH (54%)/SoBluÖl/Salz</t>
  </si>
  <si>
    <t>2021-05</t>
  </si>
  <si>
    <r>
      <t xml:space="preserve">****  #ho   naturAktiv Boscs/D'Anjou  </t>
    </r>
    <r>
      <rPr>
        <b/>
        <sz val="10"/>
        <color indexed="14"/>
        <rFont val="Arial"/>
        <family val="2"/>
      </rPr>
      <t>Argentinien</t>
    </r>
  </si>
  <si>
    <t>#lidl Erntepracht Semmelwürfel</t>
  </si>
  <si>
    <t>m.asia  "Royal Thai"   (Pl.Sack)</t>
  </si>
  <si>
    <t>lidl Kania (Pl.Cont.)</t>
  </si>
  <si>
    <t>FEHLKAUF</t>
  </si>
  <si>
    <t>bioTrio</t>
  </si>
  <si>
    <t>AUS_1209</t>
  </si>
  <si>
    <t>MHS  Ö</t>
  </si>
  <si>
    <t>***  T -SojVita Tofu traditionell gebacken -50%</t>
  </si>
  <si>
    <t>***  T -SojVita Chili-Tofu gebacken -50%</t>
  </si>
  <si>
    <r>
      <t xml:space="preserve">BB  DeRit </t>
    </r>
    <r>
      <rPr>
        <b/>
        <sz val="11"/>
        <rFont val="Arial"/>
        <family val="2"/>
      </rPr>
      <t>demeter</t>
    </r>
    <r>
      <rPr>
        <sz val="10"/>
        <rFont val="Arial"/>
        <family val="2"/>
      </rPr>
      <t xml:space="preserve"> Zuckermais  350g Glas</t>
    </r>
  </si>
  <si>
    <t>China</t>
  </si>
  <si>
    <t>INDOnesien</t>
  </si>
  <si>
    <t>INDia</t>
  </si>
  <si>
    <t>KOCHSCHOKOLADE   KoScho</t>
  </si>
  <si>
    <t>dm   TIXO  Boy</t>
  </si>
  <si>
    <t>BB  MONKI bio</t>
  </si>
  <si>
    <t>B daucy  3-6cm   400ml-Dose</t>
  </si>
  <si>
    <t>I</t>
  </si>
  <si>
    <t>A</t>
  </si>
  <si>
    <t>billa  JaN Risotto CARNAROLI   It</t>
  </si>
  <si>
    <t>#denns  KokosNuss ganz  ???</t>
  </si>
  <si>
    <t>2014-12</t>
  </si>
  <si>
    <t>MU ER PILZE (HolzOhren) (getrocknet)</t>
  </si>
  <si>
    <t>****  m.asia Orkay Ruh-Gulab</t>
  </si>
  <si>
    <t>ho  Spiralform  5/8/11/14/20W</t>
  </si>
  <si>
    <t>2005-12</t>
  </si>
  <si>
    <t>???</t>
  </si>
  <si>
    <t>T - SojVita natur</t>
  </si>
  <si>
    <t>T SojVita MILDSÜSS kbA</t>
  </si>
  <si>
    <t>ELV:   STECKERADAPTER mit Überspannungsschutz</t>
  </si>
  <si>
    <t>B13  Ö</t>
  </si>
  <si>
    <t>dm alnatura</t>
  </si>
  <si>
    <t xml:space="preserve">   KAPERN   </t>
  </si>
  <si>
    <t>2005-01</t>
  </si>
  <si>
    <t>?</t>
  </si>
  <si>
    <t>83% Trockenmasse</t>
  </si>
  <si>
    <t>MSDF == Mysore  Sugandhi Dhoop Factory PVT. LTD.  www.msdf.com IND</t>
  </si>
  <si>
    <t>L Kaff ganz</t>
  </si>
  <si>
    <t>ho weiß Ö</t>
  </si>
  <si>
    <t>ho fk. Ö</t>
  </si>
  <si>
    <r>
      <t>#denns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14"/>
        <rFont val="Arial"/>
        <family val="2"/>
      </rPr>
      <t>Govinda</t>
    </r>
  </si>
  <si>
    <t xml:space="preserve">Az </t>
  </si>
  <si>
    <t xml:space="preserve"> C --  Blätter getrocknet, GESUND&amp;LEBEN</t>
  </si>
  <si>
    <t>#BB  Davert</t>
  </si>
  <si>
    <r>
      <t>ILM  STECKERADAPTER</t>
    </r>
    <r>
      <rPr>
        <sz val="10"/>
        <color indexed="22"/>
        <rFont val="Arial"/>
        <family val="2"/>
      </rPr>
      <t xml:space="preserve"> mit schalter</t>
    </r>
  </si>
  <si>
    <t>sc4 4x9g gelb</t>
  </si>
  <si>
    <t>pagro  PAGRO  3x20g</t>
  </si>
  <si>
    <t>m.asia  AROY-D  TODDY-PALM'S seed  in Sirup (THAI)</t>
  </si>
  <si>
    <t>m.asia  AROY-D  LONGAN  in Sirup (THAI)</t>
  </si>
  <si>
    <t>***  Birlik  Seyidoglu  hell TÜRK</t>
  </si>
  <si>
    <t>SPAR budget 400g Dose</t>
  </si>
  <si>
    <t>spar NaturPur Regio Arabica Bio Fairtrade</t>
  </si>
  <si>
    <t>B13  Zuckerhut  Ö</t>
  </si>
  <si>
    <t>B  iglo passiert tiefgefroren Ö</t>
  </si>
  <si>
    <t xml:space="preserve">***  T -SojVita Spicy Thai  </t>
  </si>
  <si>
    <t>Spar NaturPur</t>
  </si>
  <si>
    <t>##T ilNutrimento kbA</t>
  </si>
  <si>
    <t>denns dennree (22%) Tube D</t>
  </si>
  <si>
    <t>#denns dennree (22%Tube ) D</t>
  </si>
  <si>
    <t>BB  Kettler Ö</t>
  </si>
  <si>
    <r>
      <t xml:space="preserve">##T VollKraft </t>
    </r>
    <r>
      <rPr>
        <b/>
        <sz val="8"/>
        <color indexed="14"/>
        <rFont val="Arial"/>
        <family val="2"/>
      </rPr>
      <t>fettarm</t>
    </r>
    <r>
      <rPr>
        <sz val="8"/>
        <color indexed="10"/>
        <rFont val="Arial"/>
        <family val="2"/>
      </rPr>
      <t xml:space="preserve">  (PET)</t>
    </r>
  </si>
  <si>
    <t>BB Cosmoveda besan</t>
  </si>
  <si>
    <t>#d2 Oekoland  Gartenkräuter  tiefgefroren</t>
  </si>
  <si>
    <t>BB Naturmühle Ö</t>
  </si>
  <si>
    <r>
      <t xml:space="preserve">##T Sonenntor </t>
    </r>
    <r>
      <rPr>
        <b/>
        <sz val="12"/>
        <color indexed="55"/>
        <rFont val="Arial"/>
        <family val="2"/>
      </rPr>
      <t>BOCKSHORNKLEE</t>
    </r>
    <r>
      <rPr>
        <sz val="12"/>
        <color indexed="55"/>
        <rFont val="Arial"/>
        <family val="2"/>
      </rPr>
      <t xml:space="preserve">  Keimsaat kbA IND</t>
    </r>
  </si>
  <si>
    <t>BB  sonnentor BOHNENKRAUT</t>
  </si>
  <si>
    <t>K</t>
  </si>
  <si>
    <t>PAGRO  alkaline 9V-block</t>
  </si>
  <si>
    <t>calc</t>
  </si>
  <si>
    <t>J Rapunzel kbA  pflanzlich</t>
  </si>
  <si>
    <t xml:space="preserve"> AUS !!!</t>
  </si>
  <si>
    <r>
      <t xml:space="preserve">***  B13 </t>
    </r>
    <r>
      <rPr>
        <b/>
        <i/>
        <sz val="12"/>
        <rFont val="Arial"/>
        <family val="2"/>
      </rPr>
      <t>demeter</t>
    </r>
    <r>
      <rPr>
        <sz val="10"/>
        <rFont val="Arial"/>
        <family val="2"/>
      </rPr>
      <t xml:space="preserve"> DeRit "Brechbohnen"  370ml Glas</t>
    </r>
  </si>
  <si>
    <t>BB sonnentor WACHOLDERBEEREN Albanien</t>
  </si>
  <si>
    <r>
      <t xml:space="preserve">CDR  </t>
    </r>
    <r>
      <rPr>
        <b/>
        <sz val="12"/>
        <color indexed="18"/>
        <rFont val="Arial"/>
        <family val="2"/>
      </rPr>
      <t>CD-ROHLINGE</t>
    </r>
  </si>
  <si>
    <t xml:space="preserve"> (H) = Haltbar</t>
  </si>
  <si>
    <r>
      <t xml:space="preserve">lidl </t>
    </r>
    <r>
      <rPr>
        <sz val="10"/>
        <color indexed="8"/>
        <rFont val="Arial"/>
        <family val="2"/>
      </rPr>
      <t>"8=55"W</t>
    </r>
  </si>
  <si>
    <t>SPAR\Bonduelle</t>
  </si>
  <si>
    <t>Natriumalginat</t>
  </si>
  <si>
    <t>Xanthan Gum</t>
  </si>
  <si>
    <t>##T - N&amp;R  bio</t>
  </si>
  <si>
    <r>
      <t xml:space="preserve">T N&amp;R  </t>
    </r>
    <r>
      <rPr>
        <b/>
        <sz val="10"/>
        <color indexed="8"/>
        <rFont val="Arial"/>
        <family val="2"/>
      </rPr>
      <t>LEINSAAT</t>
    </r>
    <r>
      <rPr>
        <sz val="10"/>
        <color indexed="8"/>
        <rFont val="Arial"/>
        <family val="2"/>
      </rPr>
      <t xml:space="preserve"> </t>
    </r>
  </si>
  <si>
    <t>$1   CR 2032</t>
  </si>
  <si>
    <t>EG69</t>
  </si>
  <si>
    <t xml:space="preserve">  *** m.asia  "Blumenpilze"  Shiitake  CH</t>
  </si>
  <si>
    <t xml:space="preserve">BB sonnentor OREGANO Ö </t>
  </si>
  <si>
    <t>2004-07</t>
  </si>
  <si>
    <t>Spar NaturPur bio-VK Roggen/Dinkel</t>
  </si>
  <si>
    <t>***  B JaN  Schnittlauch/Dill tiefgefroren</t>
  </si>
  <si>
    <t>m.asia TRS  CURRY Blaetter</t>
  </si>
  <si>
    <t>**  lidl   Baguette</t>
  </si>
  <si>
    <t xml:space="preserve">   KAPERNBEEREN   </t>
  </si>
  <si>
    <r>
      <t xml:space="preserve">***  #BB  </t>
    </r>
    <r>
      <rPr>
        <b/>
        <i/>
        <sz val="12"/>
        <color indexed="55"/>
        <rFont val="Arial"/>
        <family val="2"/>
      </rPr>
      <t>demeter</t>
    </r>
    <r>
      <rPr>
        <sz val="10"/>
        <color indexed="55"/>
        <rFont val="Arial"/>
        <family val="2"/>
      </rPr>
      <t xml:space="preserve"> DeRit "Brechbohnen"  700ml Glas</t>
    </r>
  </si>
  <si>
    <t>JBKM JOHANNISBROTKERNMEHL</t>
  </si>
  <si>
    <t>FALSCH A.</t>
  </si>
  <si>
    <t>'BELUGA'  LINSEN</t>
  </si>
  <si>
    <t>(***)   BB  LaSelva in Weinessig</t>
  </si>
  <si>
    <t>EuroShop BestPreisMarkt, VI., Gumpendorferstr. (/Stumperg.) - verstorben(?)</t>
  </si>
  <si>
    <t>2014-11</t>
  </si>
  <si>
    <r>
      <t xml:space="preserve">***  BB Naturmühle </t>
    </r>
    <r>
      <rPr>
        <b/>
        <sz val="10"/>
        <color indexed="8"/>
        <rFont val="Arial"/>
        <family val="2"/>
      </rPr>
      <t>"FeelGood"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Basilikum</t>
    </r>
    <r>
      <rPr>
        <sz val="10"/>
        <color indexed="8"/>
        <rFont val="Arial"/>
        <family val="2"/>
      </rPr>
      <t xml:space="preserve"> A</t>
    </r>
  </si>
  <si>
    <t>hofer Kokosraspel</t>
  </si>
  <si>
    <r>
      <t xml:space="preserve">BRU  </t>
    </r>
    <r>
      <rPr>
        <b/>
        <i/>
        <sz val="10"/>
        <rFont val="Arial"/>
        <family val="2"/>
      </rPr>
      <t>MONKI</t>
    </r>
    <r>
      <rPr>
        <sz val="10"/>
        <rFont val="Arial"/>
        <family val="0"/>
      </rPr>
      <t xml:space="preserve"> bio  mit und ohne Salz</t>
    </r>
  </si>
  <si>
    <t>2007-07</t>
  </si>
  <si>
    <t>*** ##T  Rapunzel  Erdnussmus fein</t>
  </si>
  <si>
    <t xml:space="preserve">denns Mitoku/NG ARAME (braunalge) </t>
  </si>
  <si>
    <t>B</t>
  </si>
  <si>
    <t>Billa Null Komma Josef dose</t>
  </si>
  <si>
    <t>2018-08</t>
  </si>
  <si>
    <t>***  NeubEnkel  AUROSHIKA</t>
  </si>
  <si>
    <r>
      <t>#denns</t>
    </r>
    <r>
      <rPr>
        <b/>
        <sz val="10"/>
        <rFont val="Arial"/>
        <family val="2"/>
      </rPr>
      <t xml:space="preserve">  </t>
    </r>
    <r>
      <rPr>
        <b/>
        <sz val="10"/>
        <color indexed="8"/>
        <rFont val="Arial"/>
        <family val="2"/>
      </rPr>
      <t xml:space="preserve">Neumarkter Lammsbräu </t>
    </r>
    <r>
      <rPr>
        <b/>
        <sz val="10"/>
        <rFont val="Arial"/>
        <family val="2"/>
      </rPr>
      <t xml:space="preserve"> Fl.</t>
    </r>
  </si>
  <si>
    <r>
      <t xml:space="preserve">BB  </t>
    </r>
    <r>
      <rPr>
        <b/>
        <sz val="10"/>
        <color indexed="8"/>
        <rFont val="Arial"/>
        <family val="2"/>
      </rPr>
      <t xml:space="preserve">Neumarkter Lammsbräu </t>
    </r>
    <r>
      <rPr>
        <b/>
        <sz val="10"/>
        <rFont val="Arial"/>
        <family val="2"/>
      </rPr>
      <t xml:space="preserve"> Fl.</t>
    </r>
  </si>
  <si>
    <t>*  B Alvalle (nicht bio aber auch nicht allzu junk)</t>
  </si>
  <si>
    <t>hofer Steirische Braeburn</t>
  </si>
  <si>
    <t xml:space="preserve">amazon-IlNutrimento  FagioliBorlotti </t>
  </si>
  <si>
    <t xml:space="preserve">EVI   </t>
  </si>
  <si>
    <t>BB sonnentor SCHNITTLAUCH Röll.gesch. kbA Ö</t>
  </si>
  <si>
    <t>hol  bio Nektarinen It</t>
  </si>
  <si>
    <t>hofer Grandessa Pfirsich (520g)</t>
  </si>
  <si>
    <t>dm  xxx KoKosRaspel</t>
  </si>
  <si>
    <t>billa EZA Organico  kbA</t>
  </si>
  <si>
    <t>müller TePe grün</t>
  </si>
  <si>
    <t>dm: 0</t>
  </si>
  <si>
    <t xml:space="preserve">dm DONTODENT antibakt(?) gewachst </t>
  </si>
  <si>
    <t>XII., Ratschkygasse 4</t>
  </si>
  <si>
    <t>Türk-R Acikel hell</t>
  </si>
  <si>
    <t xml:space="preserve"> K  a u f e</t>
  </si>
  <si>
    <t>kg</t>
  </si>
  <si>
    <t>m.asia WuChung LO HAN CHAI (Veg.Chop-suey)  (CHINA)</t>
  </si>
  <si>
    <t>Knopfzellen  LR44=AG13</t>
  </si>
  <si>
    <t>B13  Rapunzel kbA</t>
  </si>
  <si>
    <t>5Kg=90*</t>
  </si>
  <si>
    <t>1l=25*</t>
  </si>
  <si>
    <t>hofer gartenkrone gemüsemais (dose+)</t>
  </si>
  <si>
    <r>
      <t xml:space="preserve">B4,B13 viana  </t>
    </r>
    <r>
      <rPr>
        <b/>
        <sz val="10"/>
        <color indexed="22"/>
        <rFont val="Arial"/>
        <family val="2"/>
      </rPr>
      <t>KNUSPERSTÄBCHEN</t>
    </r>
    <r>
      <rPr>
        <sz val="10"/>
        <color indexed="22"/>
        <rFont val="Arial"/>
        <family val="2"/>
      </rPr>
      <t xml:space="preserve">  kbA</t>
    </r>
  </si>
  <si>
    <t>2012-05</t>
  </si>
  <si>
    <t>EW/MJ</t>
  </si>
  <si>
    <t>Fett</t>
  </si>
  <si>
    <t>KH</t>
  </si>
  <si>
    <t>EW</t>
  </si>
  <si>
    <t>ERDBEEREN</t>
  </si>
  <si>
    <t>2014-01</t>
  </si>
  <si>
    <t>#ho  bella</t>
  </si>
  <si>
    <t>billa  Clever  weiße Bohnen  800g Dose</t>
  </si>
  <si>
    <t>IS</t>
  </si>
  <si>
    <t>InterSpar (zB Niederhofstr. 23)</t>
  </si>
  <si>
    <t>Basic austria Bio für alle GmbH, Schönbrunnerstr. 222-228 (U4), www.basicbio.at</t>
  </si>
  <si>
    <t>$ KS2</t>
  </si>
  <si>
    <t>Kümmel</t>
  </si>
  <si>
    <t>Anis</t>
  </si>
  <si>
    <t>Fenchel</t>
  </si>
  <si>
    <t>Wacholder</t>
  </si>
  <si>
    <t>Koriander</t>
  </si>
  <si>
    <r>
      <t xml:space="preserve">***  #hofer  ZZU bio Sesam(5%)-Kornweckerl 3x80g </t>
    </r>
    <r>
      <rPr>
        <b/>
        <sz val="10"/>
        <color indexed="17"/>
        <rFont val="Arial"/>
        <family val="2"/>
      </rPr>
      <t>vortag</t>
    </r>
  </si>
  <si>
    <t>m.asia  TCC  JACKFRUIT in Sirup (THAI)</t>
  </si>
  <si>
    <t>ho Champignons (braun/w) ??</t>
  </si>
  <si>
    <t>2004-05</t>
  </si>
  <si>
    <t>BAMBUSSPROSSEN</t>
  </si>
  <si>
    <t>2004-06</t>
  </si>
  <si>
    <t>sc1     E27 25W</t>
  </si>
  <si>
    <t>BB  dennree  Nürnberger Herzen&amp;Sterne+Orangenfüllung</t>
  </si>
  <si>
    <t>2010-08</t>
  </si>
  <si>
    <r>
      <t>LLINSENlllllll</t>
    </r>
    <r>
      <rPr>
        <b/>
        <sz val="12"/>
        <rFont val="Arial"/>
        <family val="2"/>
      </rPr>
      <t>Linsen (eingemacht)</t>
    </r>
  </si>
  <si>
    <t>Sonnentor.at edelsüß</t>
  </si>
  <si>
    <r>
      <t xml:space="preserve">Sonenntor.at </t>
    </r>
    <r>
      <rPr>
        <b/>
        <sz val="12"/>
        <color indexed="8"/>
        <rFont val="Arial"/>
        <family val="2"/>
      </rPr>
      <t>BOCKSHORNKLEE</t>
    </r>
    <r>
      <rPr>
        <sz val="12"/>
        <color indexed="8"/>
        <rFont val="Arial"/>
        <family val="2"/>
      </rPr>
      <t xml:space="preserve"> ganz kbA</t>
    </r>
  </si>
  <si>
    <t>lidl bio Ö</t>
  </si>
  <si>
    <t>refill24(MHS65)  2x15</t>
  </si>
  <si>
    <t>**  hofer ZZU Dinkel  Ö Vortag</t>
  </si>
  <si>
    <r>
      <t xml:space="preserve">#ho </t>
    </r>
    <r>
      <rPr>
        <b/>
        <sz val="10"/>
        <color indexed="14"/>
        <rFont val="Arial"/>
        <family val="2"/>
      </rPr>
      <t>SalinenGold</t>
    </r>
    <r>
      <rPr>
        <b/>
        <sz val="10"/>
        <color indexed="8"/>
        <rFont val="Arial"/>
        <family val="2"/>
      </rPr>
      <t xml:space="preserve"> jodiert </t>
    </r>
    <r>
      <rPr>
        <b/>
        <sz val="10"/>
        <color indexed="17"/>
        <rFont val="Arial"/>
        <family val="2"/>
      </rPr>
      <t>CaCO3 SiO2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4"/>
        <rFont val="Arial"/>
        <family val="2"/>
      </rPr>
      <t>E535</t>
    </r>
  </si>
  <si>
    <t>Na4Fe(CN)6</t>
  </si>
  <si>
    <t>DM  Saphir Meersalz jodiert (NaCl, KIO3)</t>
  </si>
  <si>
    <t>AMAZON Alnatura "bio" jodiert (KIO3) ohneRieselhilfen</t>
  </si>
  <si>
    <r>
      <t xml:space="preserve">billa BadIschler jodiert  </t>
    </r>
    <r>
      <rPr>
        <sz val="10"/>
        <color indexed="14"/>
        <rFont val="Arial"/>
        <family val="2"/>
      </rPr>
      <t>E535</t>
    </r>
  </si>
  <si>
    <t xml:space="preserve">lidl ?? </t>
  </si>
  <si>
    <t>m.asia  Exotic  TO M KHA  (THAI)</t>
  </si>
  <si>
    <t>B13  Lebensbaum LIEBSTÖCKL Ö</t>
  </si>
  <si>
    <t>katalog</t>
  </si>
  <si>
    <t>dm BEERENMüsli bio</t>
  </si>
  <si>
    <t>**   #PM  blau  It</t>
  </si>
  <si>
    <t xml:space="preserve">B13 Naturata  Kokoschips </t>
  </si>
  <si>
    <t>BANANEN</t>
  </si>
  <si>
    <t>denns  Kettler Polenta</t>
  </si>
  <si>
    <t>hofer Moser Roth  edelBitter  70%</t>
  </si>
  <si>
    <t xml:space="preserve"> BB  Rapunzel "parboiled mit braunem Reis" </t>
  </si>
  <si>
    <t>SPAR  schwarz entkernt 225g Glas  ES</t>
  </si>
  <si>
    <t>SPAR\Budget 340g Dose</t>
  </si>
  <si>
    <t>SPAR\NaturPur bio 340g Dose</t>
  </si>
  <si>
    <r>
      <t xml:space="preserve">  T </t>
    </r>
    <r>
      <rPr>
        <b/>
        <i/>
        <sz val="12"/>
        <color indexed="16"/>
        <rFont val="Arial"/>
        <family val="2"/>
      </rPr>
      <t>demeter</t>
    </r>
    <r>
      <rPr>
        <sz val="10"/>
        <color indexed="16"/>
        <rFont val="Arial"/>
        <family val="2"/>
      </rPr>
      <t xml:space="preserve"> DeRit Rote Bete  720ml Glas</t>
    </r>
  </si>
  <si>
    <t>aktion -33%</t>
  </si>
  <si>
    <t>SCHWARZWURZELN</t>
  </si>
  <si>
    <t>2009-01</t>
  </si>
  <si>
    <t>Schl</t>
  </si>
  <si>
    <r>
      <t>BB ecopan  Weissbrötchen (4Stk)</t>
    </r>
    <r>
      <rPr>
        <sz val="8"/>
        <color indexed="10"/>
        <rFont val="Arial"/>
        <family val="2"/>
      </rPr>
      <t xml:space="preserve"> (H, zum FertigBacken) </t>
    </r>
  </si>
  <si>
    <t>2005-02</t>
  </si>
  <si>
    <t>AGAR / Geliermittel</t>
  </si>
  <si>
    <t>T AGAR</t>
  </si>
  <si>
    <t>BB Rapunzel GM geröstet</t>
  </si>
  <si>
    <t>EST</t>
  </si>
  <si>
    <t>EST  Wolle schwer/mittel  44-46</t>
  </si>
  <si>
    <t>T  Sonnentor Basilikum 30g</t>
  </si>
  <si>
    <t>HONIGMELONE</t>
  </si>
  <si>
    <t>billa</t>
  </si>
  <si>
    <t>hofer</t>
  </si>
  <si>
    <t>denns Oekoland  Petersilie  tiefgefroren</t>
  </si>
  <si>
    <t>N-Anteil</t>
  </si>
  <si>
    <t>BB  Sonnentor extrascharf ESP</t>
  </si>
  <si>
    <t>ZP Gerstel  dose  D</t>
  </si>
  <si>
    <r>
      <t xml:space="preserve">(NUR manche) </t>
    </r>
    <r>
      <rPr>
        <b/>
        <sz val="10"/>
        <color indexed="8"/>
        <rFont val="Arial"/>
        <family val="2"/>
      </rPr>
      <t xml:space="preserve">PM   Celimoll 3lagig 10x180 </t>
    </r>
    <r>
      <rPr>
        <sz val="10"/>
        <color indexed="8"/>
        <rFont val="Arial"/>
        <family val="2"/>
      </rPr>
      <t>(126g/Rolle)</t>
    </r>
  </si>
  <si>
    <t>Türk-1  Hayat   hell</t>
  </si>
  <si>
    <t>Menge/g</t>
  </si>
  <si>
    <t>Wasser</t>
  </si>
  <si>
    <t>dm teilentölt</t>
  </si>
  <si>
    <t>||| 4,8 % Alk |||     denns  Hirter  BIOHANFBIER   Fl.</t>
  </si>
  <si>
    <t>bioNM</t>
  </si>
  <si>
    <t>B13 sonnentor PETERSILIE  D</t>
  </si>
  <si>
    <t>extrascharf.at  ELGIN</t>
  </si>
  <si>
    <t>2023-02</t>
  </si>
  <si>
    <t>amazon\Vantastic SojaWürfel GROB  kbA</t>
  </si>
  <si>
    <t>***  AH  BIO</t>
  </si>
  <si>
    <r>
      <t xml:space="preserve">BB  Taifun  </t>
    </r>
    <r>
      <rPr>
        <b/>
        <i/>
        <sz val="11"/>
        <color indexed="55"/>
        <rFont val="Arial"/>
        <family val="2"/>
      </rPr>
      <t>demeter</t>
    </r>
    <r>
      <rPr>
        <sz val="10"/>
        <color indexed="55"/>
        <rFont val="Arial"/>
        <family val="2"/>
      </rPr>
      <t xml:space="preserve">  Mexico-Sticks</t>
    </r>
  </si>
  <si>
    <t>KJ</t>
  </si>
  <si>
    <t>lidl bio VK Penne</t>
  </si>
  <si>
    <t>BB --  G&amp;L</t>
  </si>
  <si>
    <t>LaMare</t>
  </si>
  <si>
    <r>
      <t xml:space="preserve">KKN  </t>
    </r>
    <r>
      <rPr>
        <b/>
        <sz val="12"/>
        <rFont val="Arial"/>
        <family val="2"/>
      </rPr>
      <t>KOKOSNUSS, KoKosRaspel, KoKosChips</t>
    </r>
  </si>
  <si>
    <t>ho: Tosca (vorw.festk.)</t>
  </si>
  <si>
    <t>##T  Basism..</t>
  </si>
  <si>
    <t>Zahnstocher (Holz)</t>
  </si>
  <si>
    <t>WoWarDas?</t>
  </si>
  <si>
    <t>T OLIVENSEIFE  Würfel</t>
  </si>
  <si>
    <t>B13 Rapunzel  Weisse Bohnen  400g Dose</t>
  </si>
  <si>
    <t>***   L It</t>
  </si>
  <si>
    <t>**   #hofer  ZZU Karottenbrot  aus Wien vom Vortag</t>
  </si>
  <si>
    <t>**   #ho  ZZU Karottenbrot  aus Wien vom Vortag</t>
  </si>
  <si>
    <t>m.asia  narcissus  PO-KU MUSHROOMS (SHIITAKE) (dose)</t>
  </si>
  <si>
    <t>Asia-2  NAG CHAMPA blau  (40g; 30+ Stk)</t>
  </si>
  <si>
    <t xml:space="preserve">  / Pkg.</t>
  </si>
  <si>
    <r>
      <t>+---&gt;</t>
    </r>
    <r>
      <rPr>
        <sz val="10"/>
        <color indexed="16"/>
        <rFont val="Arial"/>
        <family val="2"/>
      </rPr>
      <t xml:space="preserve">  m.asia  Renuka  100% pure coconut (68%F)</t>
    </r>
  </si>
  <si>
    <t>ET0</t>
  </si>
  <si>
    <t>sc3  TopfKratzer (plastik)</t>
  </si>
  <si>
    <t>denns LEINSAAT braun</t>
  </si>
  <si>
    <t>H Rapunzel kbA</t>
  </si>
  <si>
    <t>ho  Citro-würze</t>
  </si>
  <si>
    <t>#ho  Limonetten-würze</t>
  </si>
  <si>
    <t>2010-03</t>
  </si>
  <si>
    <t>billa  Russo  Rote Indianerbohnen  800g Dose</t>
  </si>
  <si>
    <t>KARTOFFELSTÄRKE</t>
  </si>
  <si>
    <t>denns Oekoland  Schmittlauch, Dill  tiefgefroren</t>
  </si>
  <si>
    <t>BB  basic  Apfelessig 5%</t>
  </si>
  <si>
    <t>BB  sonenntor LIEBSTÖCKL Ö</t>
  </si>
  <si>
    <t>dm  Arborio Risotto  ?</t>
  </si>
  <si>
    <r>
      <t xml:space="preserve">B13 Spielberger </t>
    </r>
    <r>
      <rPr>
        <i/>
        <sz val="11"/>
        <color indexed="8"/>
        <rFont val="Arial"/>
        <family val="2"/>
      </rPr>
      <t>demeter</t>
    </r>
    <r>
      <rPr>
        <sz val="10"/>
        <color indexed="8"/>
        <rFont val="Arial"/>
        <family val="2"/>
      </rPr>
      <t xml:space="preserve"> fein</t>
    </r>
  </si>
  <si>
    <t>Bockshornklee</t>
  </si>
  <si>
    <t>Salz</t>
  </si>
  <si>
    <t>Vollkraft Hildeg.</t>
  </si>
  <si>
    <t>billa ZET  (84%Zw,SoBluÖl) Nestle Ö</t>
  </si>
  <si>
    <t xml:space="preserve">B13 Rapunzel BIO  </t>
  </si>
  <si>
    <t>***   BB ilNutrimento   400g Dose</t>
  </si>
  <si>
    <t>m.asia  MU-ER, Wolkenohren  CH</t>
  </si>
  <si>
    <t>T  sonnentor BOHNENKRAUT</t>
  </si>
  <si>
    <t>/100m</t>
  </si>
  <si>
    <t>M</t>
  </si>
  <si>
    <t>2012-06</t>
  </si>
  <si>
    <t>denns Naturata Feigen</t>
  </si>
  <si>
    <t>denns Feigen LERIDA</t>
  </si>
  <si>
    <r>
      <t xml:space="preserve">****   T Rapunzel </t>
    </r>
    <r>
      <rPr>
        <i/>
        <sz val="12"/>
        <color indexed="55"/>
        <rFont val="Arial"/>
        <family val="2"/>
      </rPr>
      <t>DEMETER</t>
    </r>
    <r>
      <rPr>
        <sz val="10"/>
        <color indexed="55"/>
        <rFont val="Arial"/>
        <family val="2"/>
      </rPr>
      <t xml:space="preserve">  </t>
    </r>
  </si>
  <si>
    <t>*-*  BB Tofutti chocolate</t>
  </si>
  <si>
    <t>m</t>
  </si>
  <si>
    <t>Polysorbat60</t>
  </si>
  <si>
    <t>T Muskatnüsse ganz kbA</t>
  </si>
  <si>
    <t>cent pro Maschinenfüllung</t>
  </si>
  <si>
    <t>**  lidl   Krustenlaib</t>
  </si>
  <si>
    <t>T Vollkraft vollfett kbA</t>
  </si>
  <si>
    <t xml:space="preserve"> ?? 1,9</t>
  </si>
  <si>
    <t>BB</t>
  </si>
  <si>
    <r>
      <t xml:space="preserve">BB spielberger </t>
    </r>
    <r>
      <rPr>
        <b/>
        <i/>
        <sz val="11"/>
        <color indexed="55"/>
        <rFont val="Arial"/>
        <family val="2"/>
      </rPr>
      <t>demeter</t>
    </r>
    <r>
      <rPr>
        <sz val="10"/>
        <color indexed="55"/>
        <rFont val="Arial"/>
        <family val="2"/>
      </rPr>
      <t xml:space="preserve"> grob  D</t>
    </r>
  </si>
  <si>
    <t>BB basic fein D</t>
  </si>
  <si>
    <t xml:space="preserve">T VollKraft Dinkel kbA </t>
  </si>
  <si>
    <t>****  ho ZZU direkt naturtrüb  A/Holunder-Saft (92+8) Tetra Ö</t>
  </si>
  <si>
    <t>BB  Neumarkter Lammsbräu  Weisse Fl./Kiste</t>
  </si>
  <si>
    <t>U</t>
  </si>
  <si>
    <t>RW</t>
  </si>
  <si>
    <r>
      <t xml:space="preserve">**  B13  Soto </t>
    </r>
    <r>
      <rPr>
        <sz val="10"/>
        <color indexed="14"/>
        <rFont val="Arial"/>
        <family val="2"/>
      </rPr>
      <t>FRÜHLINGSROLLEN</t>
    </r>
    <r>
      <rPr>
        <sz val="10"/>
        <rFont val="Arial"/>
        <family val="2"/>
      </rPr>
      <t xml:space="preserve"> (Chin)  </t>
    </r>
  </si>
  <si>
    <r>
      <t xml:space="preserve">**  BB  Soto </t>
    </r>
    <r>
      <rPr>
        <sz val="10"/>
        <color indexed="14"/>
        <rFont val="Arial"/>
        <family val="2"/>
      </rPr>
      <t>FRÜHLINGSROLLEN</t>
    </r>
    <r>
      <rPr>
        <sz val="10"/>
        <color indexed="10"/>
        <rFont val="Arial"/>
        <family val="2"/>
      </rPr>
      <t xml:space="preserve"> (Chin)</t>
    </r>
  </si>
  <si>
    <t>2021-11</t>
  </si>
  <si>
    <t>2012-01</t>
  </si>
  <si>
    <r>
      <t xml:space="preserve">(neu:05/014)  *  </t>
    </r>
    <r>
      <rPr>
        <b/>
        <sz val="8"/>
        <color indexed="12"/>
        <rFont val="Arial"/>
        <family val="2"/>
      </rPr>
      <t xml:space="preserve">ho Sp.bella FineSensation </t>
    </r>
    <r>
      <rPr>
        <sz val="8"/>
        <color indexed="12"/>
        <rFont val="Arial"/>
        <family val="2"/>
      </rPr>
      <t>(SchokoWaffelBlättchen)</t>
    </r>
  </si>
  <si>
    <r>
      <t xml:space="preserve">---   hofer Topfenstrudel  </t>
    </r>
    <r>
      <rPr>
        <b/>
        <sz val="8"/>
        <color indexed="10"/>
        <rFont val="Arial"/>
        <family val="2"/>
      </rPr>
      <t>HÜHNEREIWEISS</t>
    </r>
    <r>
      <rPr>
        <sz val="8"/>
        <color indexed="14"/>
        <rFont val="Arial"/>
        <family val="2"/>
      </rPr>
      <t xml:space="preserve"> </t>
    </r>
    <r>
      <rPr>
        <b/>
        <sz val="8"/>
        <color indexed="14"/>
        <rFont val="Arial"/>
        <family val="2"/>
      </rPr>
      <t>VOLLEI</t>
    </r>
  </si>
  <si>
    <r>
      <t xml:space="preserve">  </t>
    </r>
    <r>
      <rPr>
        <b/>
        <sz val="14"/>
        <rFont val="Arial"/>
        <family val="2"/>
      </rPr>
      <t>PILZE (eingemacht)</t>
    </r>
  </si>
  <si>
    <t>2022-07</t>
  </si>
  <si>
    <r>
      <t xml:space="preserve">  RRTTRTRT    </t>
    </r>
    <r>
      <rPr>
        <b/>
        <sz val="12"/>
        <rFont val="Arial"/>
        <family val="2"/>
      </rPr>
      <t>RÄUCHER-TOFU</t>
    </r>
  </si>
  <si>
    <t>BB Taifun Tofu Rosse</t>
  </si>
  <si>
    <t>BB Taifun Tofu Basilico</t>
  </si>
  <si>
    <t>dennree  Paprika Tofo</t>
  </si>
  <si>
    <t>hofer   Gala/Braeburn Ö</t>
  </si>
  <si>
    <r>
      <t>ssss</t>
    </r>
    <r>
      <rPr>
        <b/>
        <sz val="14"/>
        <color indexed="8"/>
        <rFont val="Arial"/>
        <family val="2"/>
      </rPr>
      <t>HAUSSCHUHE/PATSCHEN</t>
    </r>
  </si>
  <si>
    <t>2017-02</t>
  </si>
  <si>
    <t>2017-05</t>
  </si>
  <si>
    <t>pagro  PAGRO  20g</t>
  </si>
  <si>
    <t>*** Spar Kalamata m.K. GR</t>
  </si>
  <si>
    <t>PMl  BIO Navel Orangen Esp</t>
  </si>
  <si>
    <t>2018-11</t>
  </si>
  <si>
    <t>2019-10</t>
  </si>
  <si>
    <r>
      <t>sksksssss</t>
    </r>
    <r>
      <rPr>
        <b/>
        <sz val="12"/>
        <rFont val="Arial"/>
        <family val="2"/>
      </rPr>
      <t>SAUERKRAUT</t>
    </r>
  </si>
  <si>
    <t>200g gesamt</t>
  </si>
  <si>
    <r>
      <t xml:space="preserve">BB  Butternut  </t>
    </r>
    <r>
      <rPr>
        <b/>
        <i/>
        <sz val="11"/>
        <color indexed="55"/>
        <rFont val="Arial"/>
        <family val="2"/>
      </rPr>
      <t>demeter</t>
    </r>
    <r>
      <rPr>
        <b/>
        <sz val="10"/>
        <color indexed="55"/>
        <rFont val="Arial"/>
        <family val="2"/>
      </rPr>
      <t xml:space="preserve">  Ö</t>
    </r>
  </si>
  <si>
    <t xml:space="preserve">  LupinenTofu  LOPINO</t>
  </si>
  <si>
    <r>
      <t>SELBSTGESCHNITTEN</t>
    </r>
    <r>
      <rPr>
        <sz val="10"/>
        <color indexed="16"/>
        <rFont val="Arial"/>
        <family val="2"/>
      </rPr>
      <t xml:space="preserve"> aus ho.zzU Dinkel-Roggenbrot</t>
    </r>
  </si>
  <si>
    <r>
      <t>pppppp</t>
    </r>
    <r>
      <rPr>
        <b/>
        <sz val="14"/>
        <color indexed="8"/>
        <rFont val="Arial"/>
        <family val="2"/>
      </rPr>
      <t>paprika</t>
    </r>
  </si>
  <si>
    <t>Spar  NaturPur  kbA</t>
  </si>
  <si>
    <t>Lidl Favorinis Cocoa Cream Wafers</t>
  </si>
  <si>
    <t>ZP</t>
  </si>
  <si>
    <t>Zielpunkt</t>
  </si>
  <si>
    <r>
      <t xml:space="preserve">T </t>
    </r>
    <r>
      <rPr>
        <i/>
        <sz val="12"/>
        <rFont val="Arial"/>
        <family val="2"/>
      </rPr>
      <t>demeter</t>
    </r>
    <r>
      <rPr>
        <sz val="10"/>
        <rFont val="Arial"/>
        <family val="2"/>
      </rPr>
      <t xml:space="preserve"> deRit</t>
    </r>
  </si>
  <si>
    <t>2006-06</t>
  </si>
  <si>
    <r>
      <t xml:space="preserve">SC4  "Bundesh.JAGDSTUTZEN"  W50+AC30+PE20  </t>
    </r>
    <r>
      <rPr>
        <b/>
        <sz val="10"/>
        <color indexed="8"/>
        <rFont val="Arial"/>
        <family val="2"/>
      </rPr>
      <t>95g</t>
    </r>
  </si>
  <si>
    <t>m.asia DitaSey Kokosraspel (getrocknet)</t>
  </si>
  <si>
    <t>billa  "Schale nicht zum Verzehr geeignet"</t>
  </si>
  <si>
    <t>** hofer ZZU Roggenloab Vortag</t>
  </si>
  <si>
    <t>Rollgerste / Graupen</t>
  </si>
  <si>
    <t>?$</t>
  </si>
  <si>
    <t>2020-05</t>
  </si>
  <si>
    <t>TEKAMPAGNE.de  green Darjeeling-2008   inkl.Versand  IND</t>
  </si>
  <si>
    <t>PM</t>
  </si>
  <si>
    <r>
      <t>B</t>
    </r>
    <r>
      <rPr>
        <b/>
        <sz val="14"/>
        <color indexed="8"/>
        <rFont val="Arial"/>
        <family val="2"/>
      </rPr>
      <t>BIRNEN</t>
    </r>
  </si>
  <si>
    <t>Bi JaN Basmati</t>
  </si>
  <si>
    <t>***  #ho   bio It</t>
  </si>
  <si>
    <t>#B13 SojVita DIJONSENF kbA</t>
  </si>
  <si>
    <t>PennyMarkt PM</t>
  </si>
  <si>
    <t>hofer  Billigst</t>
  </si>
  <si>
    <t>2007-11</t>
  </si>
  <si>
    <t>***  d  Taifun Graffiti-Tofu-Terrine</t>
  </si>
  <si>
    <t xml:space="preserve">merkur/Bi  JaN Mehrkorntoast </t>
  </si>
  <si>
    <t>T  N&amp;R, 2 kg je</t>
  </si>
  <si>
    <t>Billigshop "scont% natally", XII., Reschgase 20-22</t>
  </si>
  <si>
    <t>Bi  clever  800g Dose</t>
  </si>
  <si>
    <t xml:space="preserve">denns  BergQuell  350g Glasl  </t>
  </si>
  <si>
    <r>
      <t xml:space="preserve">BB </t>
    </r>
    <r>
      <rPr>
        <i/>
        <sz val="11"/>
        <color indexed="16"/>
        <rFont val="Arial"/>
        <family val="2"/>
      </rPr>
      <t>demeter</t>
    </r>
    <r>
      <rPr>
        <sz val="10"/>
        <color indexed="16"/>
        <rFont val="Arial"/>
        <family val="2"/>
      </rPr>
      <t xml:space="preserve"> Lebensbaum HIBISKUS</t>
    </r>
  </si>
  <si>
    <t>LAUCH / PORREE  Ö</t>
  </si>
  <si>
    <t>GALIA(netz)MELONE</t>
  </si>
  <si>
    <r>
      <t xml:space="preserve">SPAR budget  </t>
    </r>
    <r>
      <rPr>
        <sz val="10"/>
        <color indexed="14"/>
        <rFont val="Arial"/>
        <family val="2"/>
      </rPr>
      <t>Kaliumsorbat</t>
    </r>
  </si>
  <si>
    <t>MHS18  Platinum  cakebox-</t>
  </si>
  <si>
    <t>MHS18  Platinum DVD-R &amp; DVD+R  Platinum  cakebox-</t>
  </si>
  <si>
    <t>gibzsnimma</t>
  </si>
  <si>
    <t>***  m.asia  6 Pkg.</t>
  </si>
  <si>
    <t>Türk-2 Acikel hell</t>
  </si>
  <si>
    <t>Merkur bioLeben MANDELN kbA</t>
  </si>
  <si>
    <t>ZP Micro (AAA)</t>
  </si>
  <si>
    <r>
      <t xml:space="preserve">SUPU  </t>
    </r>
    <r>
      <rPr>
        <b/>
        <sz val="12"/>
        <rFont val="Arial"/>
        <family val="2"/>
      </rPr>
      <t>SUPPENPULVER</t>
    </r>
  </si>
  <si>
    <t>***   #m.asia Goloka NAG CHAMPA  GELB (40g)</t>
  </si>
  <si>
    <r>
      <t>#hofer  Früchte</t>
    </r>
    <r>
      <rPr>
        <b/>
        <sz val="10"/>
        <color indexed="14"/>
        <rFont val="Arial"/>
        <family val="2"/>
      </rPr>
      <t xml:space="preserve">brot </t>
    </r>
    <r>
      <rPr>
        <b/>
        <sz val="10"/>
        <color indexed="12"/>
        <rFont val="Arial"/>
        <family val="2"/>
      </rPr>
      <t xml:space="preserve"> Ö</t>
    </r>
  </si>
  <si>
    <t>2012-10</t>
  </si>
  <si>
    <t>ho  ZZU  Butternut  A</t>
  </si>
  <si>
    <r>
      <t>ttttt</t>
    </r>
    <r>
      <rPr>
        <b/>
        <sz val="12"/>
        <rFont val="Arial"/>
        <family val="2"/>
      </rPr>
      <t>TAMARI</t>
    </r>
  </si>
  <si>
    <r>
      <t xml:space="preserve">### T Vollkraft </t>
    </r>
    <r>
      <rPr>
        <b/>
        <sz val="10"/>
        <color indexed="55"/>
        <rFont val="Arial"/>
        <family val="2"/>
      </rPr>
      <t>TAMARI</t>
    </r>
  </si>
  <si>
    <t>2020-10</t>
  </si>
  <si>
    <t>billiger geworden !</t>
  </si>
  <si>
    <t>Billa  Clever  Champignons   400g Dose  Fr</t>
  </si>
  <si>
    <t>2012-11</t>
  </si>
  <si>
    <t>lidl Erntepracht helles  Mischbrot geschnitten</t>
  </si>
  <si>
    <t>ho  Listerine cool mint 500ml</t>
  </si>
  <si>
    <r>
      <t xml:space="preserve">denns  MONKI </t>
    </r>
    <r>
      <rPr>
        <b/>
        <sz val="10"/>
        <rFont val="Arial"/>
        <family val="2"/>
      </rPr>
      <t>SONNENBLUMENMUS</t>
    </r>
    <r>
      <rPr>
        <sz val="10"/>
        <rFont val="Arial"/>
        <family val="0"/>
      </rPr>
      <t xml:space="preserve">  bio </t>
    </r>
  </si>
  <si>
    <t>2010-10</t>
  </si>
  <si>
    <t>B13 ??  rückstandsgeprüft</t>
  </si>
  <si>
    <t>sc3  LR44   == AG13</t>
  </si>
  <si>
    <t>dm Alnatura  Ö</t>
  </si>
  <si>
    <t>ho Spitz EstragonSenf</t>
  </si>
  <si>
    <t>süßk  süssk</t>
  </si>
  <si>
    <t>billa Abbe Fetel  Ö</t>
  </si>
  <si>
    <r>
      <t xml:space="preserve">SPAR  </t>
    </r>
    <r>
      <rPr>
        <sz val="10"/>
        <color indexed="14"/>
        <rFont val="Arial"/>
        <family val="2"/>
      </rPr>
      <t>Marchland</t>
    </r>
  </si>
  <si>
    <t>DM mildes BIO</t>
  </si>
  <si>
    <t>dzt. AUS</t>
  </si>
  <si>
    <t>B13 Rapunzel</t>
  </si>
  <si>
    <t>**  hofer Choceur noir 65%</t>
  </si>
  <si>
    <t>ho  Chinakohl  Ö</t>
  </si>
  <si>
    <t>m.asia chaokoh RAMBUTANs in Sirup (THAI)</t>
  </si>
  <si>
    <t xml:space="preserve">m.asia  Narcissus LYCHEES in Sirup (CHINA) </t>
  </si>
  <si>
    <t>d4, denns</t>
  </si>
  <si>
    <t xml:space="preserve">dennns, Wiedner Hauptstr. 71 </t>
  </si>
  <si>
    <t>T - N&amp;R  bio</t>
  </si>
  <si>
    <t>sb/??  Philips  E27 25W klein</t>
  </si>
  <si>
    <t>Schlecker  AS  Kerzen E14 25W</t>
  </si>
  <si>
    <t>aufgelassen</t>
  </si>
  <si>
    <t>A  oder  Ö</t>
  </si>
  <si>
    <t>digiware ?Platinum?  DVD+R</t>
  </si>
  <si>
    <r>
      <t xml:space="preserve">$1p BestChoice </t>
    </r>
    <r>
      <rPr>
        <b/>
        <sz val="10"/>
        <color indexed="14"/>
        <rFont val="Arial"/>
        <family val="2"/>
      </rPr>
      <t>(grüne P.)</t>
    </r>
    <r>
      <rPr>
        <b/>
        <sz val="10"/>
        <color indexed="8"/>
        <rFont val="Arial"/>
        <family val="2"/>
      </rPr>
      <t xml:space="preserve"> 6*10m*</t>
    </r>
    <r>
      <rPr>
        <b/>
        <sz val="10"/>
        <color indexed="10"/>
        <rFont val="Arial"/>
        <family val="2"/>
      </rPr>
      <t>12</t>
    </r>
    <r>
      <rPr>
        <b/>
        <sz val="10"/>
        <color indexed="8"/>
        <rFont val="Arial"/>
        <family val="2"/>
      </rPr>
      <t>mm</t>
    </r>
  </si>
  <si>
    <t>BB  (vermutlich: Maya)  bio  ISR</t>
  </si>
  <si>
    <t>**  ho Apfelsaft naturtrüb</t>
  </si>
  <si>
    <t>***  ho Birnenlsaft naturtrüb</t>
  </si>
  <si>
    <t>m.asia Renuka Kokosraspel (getrocknet)</t>
  </si>
  <si>
    <t>ILM==sc3   15W</t>
  </si>
  <si>
    <r>
      <t xml:space="preserve">**  #BB  </t>
    </r>
    <r>
      <rPr>
        <sz val="10"/>
        <color indexed="14"/>
        <rFont val="Arial"/>
        <family val="2"/>
      </rPr>
      <t>Soto</t>
    </r>
    <r>
      <rPr>
        <sz val="10"/>
        <color indexed="8"/>
        <rFont val="Arial"/>
        <family val="2"/>
      </rPr>
      <t xml:space="preserve">   MINIFRÜHLINGSROELLCHEN (chin)  </t>
    </r>
  </si>
  <si>
    <t>ho bio  ESP</t>
  </si>
  <si>
    <t>***   V-BD  - Fandler BIO</t>
  </si>
  <si>
    <t>UV  Baby</t>
  </si>
  <si>
    <t>2018-07</t>
  </si>
  <si>
    <t>GLÜHKERZEN  E14</t>
  </si>
  <si>
    <t>!! ACHTUNG !!</t>
  </si>
  <si>
    <t>abtropfG</t>
  </si>
  <si>
    <t>2018-02</t>
  </si>
  <si>
    <t>#m.asia 3Roses/5Roses/777sandal</t>
  </si>
  <si>
    <t>2014-06</t>
  </si>
  <si>
    <t>lidl SnackDay salzstangerl (sticks)</t>
  </si>
  <si>
    <t>TS  K  PG-40</t>
  </si>
  <si>
    <t>TS  YMC  CL-41</t>
  </si>
  <si>
    <t>2013-06</t>
  </si>
  <si>
    <t>##T   N&amp;R Naturreis lang EU</t>
  </si>
  <si>
    <t>##T   N&amp;R Naturreis rund EU</t>
  </si>
  <si>
    <t>2021-02</t>
  </si>
  <si>
    <t>DÖRRBIRNEN ua. TROCKENFÜCHTE</t>
  </si>
  <si>
    <t>2018-10</t>
  </si>
  <si>
    <r>
      <t xml:space="preserve">NaschMarkt  </t>
    </r>
    <r>
      <rPr>
        <b/>
        <i/>
        <sz val="10"/>
        <color indexed="10"/>
        <rFont val="Arial"/>
        <family val="2"/>
      </rPr>
      <t>MONKI</t>
    </r>
    <r>
      <rPr>
        <sz val="10"/>
        <color indexed="10"/>
        <rFont val="Arial"/>
        <family val="2"/>
      </rPr>
      <t xml:space="preserve"> bio  mit und ohne Salz</t>
    </r>
  </si>
  <si>
    <t>ADEG  Schlossgold dose  Ö</t>
  </si>
  <si>
    <t xml:space="preserve">denns  MONKI ERDNUSSMUS  bio </t>
  </si>
  <si>
    <t>BB Suesskartoffeln ??</t>
  </si>
  <si>
    <t>NM,  K  PG-37</t>
  </si>
  <si>
    <t>FENCHEL</t>
  </si>
  <si>
    <t>EG3</t>
  </si>
  <si>
    <t>BB Suesskartoffeln A</t>
  </si>
  <si>
    <r>
      <t xml:space="preserve">bbbbbbrot  </t>
    </r>
    <r>
      <rPr>
        <b/>
        <sz val="12"/>
        <rFont val="Arial"/>
        <family val="2"/>
      </rPr>
      <t xml:space="preserve">GEBÄCK, </t>
    </r>
    <r>
      <rPr>
        <b/>
        <sz val="12"/>
        <color indexed="9"/>
        <rFont val="Arial"/>
        <family val="2"/>
      </rPr>
      <t>W</t>
    </r>
    <r>
      <rPr>
        <b/>
        <sz val="14"/>
        <rFont val="Arial"/>
        <family val="2"/>
      </rPr>
      <t>WEIZEN</t>
    </r>
    <r>
      <rPr>
        <b/>
        <sz val="12"/>
        <rFont val="Arial"/>
        <family val="2"/>
      </rPr>
      <t>BROT</t>
    </r>
  </si>
  <si>
    <t>b=37,2</t>
  </si>
  <si>
    <t>***  hofer Monarc Schokolebkuchen  zartbitter</t>
  </si>
  <si>
    <t>BB Basic NEU</t>
  </si>
  <si>
    <t>BPS via Az  INTENSO</t>
  </si>
  <si>
    <t>ho  It</t>
  </si>
  <si>
    <t>BB  Fr</t>
  </si>
  <si>
    <r>
      <t xml:space="preserve">BB  NaturalCool </t>
    </r>
    <r>
      <rPr>
        <b/>
        <i/>
        <sz val="11"/>
        <color indexed="8"/>
        <rFont val="Arial"/>
        <family val="2"/>
      </rPr>
      <t>demeter</t>
    </r>
    <r>
      <rPr>
        <b/>
        <sz val="10"/>
        <color indexed="8"/>
        <rFont val="Arial"/>
        <family val="2"/>
      </rPr>
      <t xml:space="preserve"> HackSpinat </t>
    </r>
  </si>
  <si>
    <t>BB  dennree Seitan mariniert It</t>
  </si>
  <si>
    <t>BB    Toamten fein  400g Dose It</t>
  </si>
  <si>
    <t>ZP SAHNEKAPSELN</t>
  </si>
  <si>
    <r>
      <t xml:space="preserve">***  #dm </t>
    </r>
    <r>
      <rPr>
        <b/>
        <sz val="10"/>
        <color indexed="14"/>
        <rFont val="Arial"/>
        <family val="2"/>
      </rPr>
      <t>alnatura</t>
    </r>
    <r>
      <rPr>
        <b/>
        <sz val="10"/>
        <color indexed="17"/>
        <rFont val="Arial"/>
        <family val="2"/>
      </rPr>
      <t xml:space="preserve"> veg. BOLOGNESE  "klassisch neueRezeptur"</t>
    </r>
  </si>
  <si>
    <t>***  #dm alnatura veg. BOLOGNESE  "klassisch"/"gemüse"</t>
  </si>
  <si>
    <t>ZZZ</t>
  </si>
  <si>
    <t>BUL</t>
  </si>
  <si>
    <t>sliced</t>
  </si>
  <si>
    <t>##T Vollwert Sojaflocken kbA</t>
  </si>
  <si>
    <r>
      <t>KKKkkkkk</t>
    </r>
    <r>
      <rPr>
        <b/>
        <sz val="12"/>
        <rFont val="Arial"/>
        <family val="2"/>
      </rPr>
      <t>KRAUT</t>
    </r>
  </si>
  <si>
    <t>Az.de  Maxell</t>
  </si>
  <si>
    <r>
      <t xml:space="preserve">Hernalserauptstrasse ca. 100 </t>
    </r>
    <r>
      <rPr>
        <b/>
        <i/>
        <sz val="10"/>
        <color indexed="14"/>
        <rFont val="Arial"/>
        <family val="2"/>
      </rPr>
      <t xml:space="preserve"> R.I.P</t>
    </r>
  </si>
  <si>
    <t>2004-08</t>
  </si>
  <si>
    <t>?1,90</t>
  </si>
  <si>
    <t>*-*  BB Tofutti mango-passionsfruit</t>
  </si>
  <si>
    <t>IND</t>
  </si>
  <si>
    <r>
      <t xml:space="preserve"> basic bio  </t>
    </r>
    <r>
      <rPr>
        <b/>
        <sz val="12"/>
        <rFont val="Arial"/>
        <family val="2"/>
      </rPr>
      <t>BB</t>
    </r>
  </si>
  <si>
    <t>2008-03</t>
  </si>
  <si>
    <t>BB  basic wei0e (kleine)   400g Dose</t>
  </si>
  <si>
    <t>***  Birlik  Koska   hell TÜRK</t>
  </si>
  <si>
    <r>
      <t xml:space="preserve">BB  </t>
    </r>
    <r>
      <rPr>
        <b/>
        <sz val="10"/>
        <color indexed="17"/>
        <rFont val="Arial"/>
        <family val="2"/>
      </rPr>
      <t>Rapunzel</t>
    </r>
    <r>
      <rPr>
        <sz val="10"/>
        <rFont val="Arial"/>
        <family val="2"/>
      </rPr>
      <t xml:space="preserve">  </t>
    </r>
    <r>
      <rPr>
        <sz val="10"/>
        <color indexed="16"/>
        <rFont val="Arial"/>
        <family val="2"/>
      </rPr>
      <t>Rote Kidney Bohnen</t>
    </r>
    <r>
      <rPr>
        <sz val="10"/>
        <rFont val="Arial"/>
        <family val="2"/>
      </rPr>
      <t xml:space="preserve">  400g Dose IT</t>
    </r>
  </si>
  <si>
    <t>J multikost</t>
  </si>
  <si>
    <t>ho  Haselnüsse</t>
  </si>
  <si>
    <t>#ho  NaturAktiv  SoBlu/ D</t>
  </si>
  <si>
    <t>denree Paprika Tofu</t>
  </si>
  <si>
    <t>denree  Tofu IndischeArt</t>
  </si>
  <si>
    <t>denree ger. M. Röstzwiebeln</t>
  </si>
  <si>
    <r>
      <t>d  denree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4"/>
        <rFont val="Arial"/>
        <family val="2"/>
      </rPr>
      <t>KRÄUTER</t>
    </r>
  </si>
  <si>
    <r>
      <t>d  denree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4"/>
        <rFont val="Arial"/>
        <family val="2"/>
      </rPr>
      <t>PAPRIKA</t>
    </r>
  </si>
  <si>
    <t>SPAR NaturPur Bio-Roggen-Vollkorn (6M)</t>
  </si>
  <si>
    <t>$1  HiTech (blau/weiß)  2x15g</t>
  </si>
  <si>
    <t>**  hofer ZZU DinkelVollkorn Vortag  Ö</t>
  </si>
  <si>
    <t>B13  Rapunzel</t>
  </si>
  <si>
    <r>
      <t xml:space="preserve">V-RB  </t>
    </r>
    <r>
      <rPr>
        <b/>
        <i/>
        <sz val="10"/>
        <color indexed="16"/>
        <rFont val="Arial"/>
        <family val="2"/>
      </rPr>
      <t>MONKI</t>
    </r>
    <r>
      <rPr>
        <sz val="10"/>
        <color indexed="16"/>
        <rFont val="Arial"/>
        <family val="2"/>
      </rPr>
      <t xml:space="preserve"> bio</t>
    </r>
  </si>
  <si>
    <t>bold=billig(st)</t>
  </si>
  <si>
    <t>E pro Kg</t>
  </si>
  <si>
    <t>B13  Rapunzel kbA (CAN)</t>
  </si>
  <si>
    <t>B13  AmanPrana  bio FairTrade</t>
  </si>
  <si>
    <t>ho: KEINES (?)</t>
  </si>
  <si>
    <r>
      <t xml:space="preserve">BB </t>
    </r>
    <r>
      <rPr>
        <b/>
        <sz val="10"/>
        <color indexed="8"/>
        <rFont val="Arial"/>
        <family val="2"/>
      </rPr>
      <t>Naturata</t>
    </r>
    <r>
      <rPr>
        <sz val="10"/>
        <color indexed="8"/>
        <rFont val="Arial"/>
        <family val="2"/>
      </rPr>
      <t xml:space="preserve"> </t>
    </r>
    <r>
      <rPr>
        <b/>
        <i/>
        <sz val="11"/>
        <color indexed="17"/>
        <rFont val="Arial"/>
        <family val="2"/>
      </rPr>
      <t>demeter</t>
    </r>
    <r>
      <rPr>
        <sz val="10"/>
        <color indexed="8"/>
        <rFont val="Arial"/>
        <family val="2"/>
      </rPr>
      <t xml:space="preserve"> </t>
    </r>
  </si>
  <si>
    <t>*** (*)  PM  grün/groß dünschalig  ?GR</t>
  </si>
  <si>
    <t>2007-06</t>
  </si>
  <si>
    <t>M JaN BlattSpinat minis  blanchiert+tiefgekühlt</t>
  </si>
  <si>
    <t>M JaN Ö</t>
  </si>
  <si>
    <t>ET Hayat hell TÜRK</t>
  </si>
  <si>
    <t xml:space="preserve"> denns  Austernseitling Pleurotus  It</t>
  </si>
  <si>
    <t>schwarz = nur|v.a. BIOlogisches</t>
  </si>
  <si>
    <t>Spar Dill</t>
  </si>
  <si>
    <t>Sri Lanka</t>
  </si>
  <si>
    <t>SPAR  ECE 850g Dose</t>
  </si>
  <si>
    <t>AMAZON  tukas  4x800g Dose</t>
  </si>
  <si>
    <t>AMAZON  Doyal 12x800g Dose</t>
  </si>
  <si>
    <t>#hofer  ZZU "Wurzelbrot" (Weizen)</t>
  </si>
  <si>
    <r>
      <t xml:space="preserve">hofer NaturPur </t>
    </r>
    <r>
      <rPr>
        <b/>
        <sz val="10"/>
        <color indexed="55"/>
        <rFont val="Arial"/>
        <family val="2"/>
      </rPr>
      <t>bio Hafermalzgebäck</t>
    </r>
    <r>
      <rPr>
        <sz val="10"/>
        <color indexed="55"/>
        <rFont val="Arial"/>
        <family val="2"/>
      </rPr>
      <t xml:space="preserve"> </t>
    </r>
    <r>
      <rPr>
        <sz val="8"/>
        <color indexed="55"/>
        <rFont val="Arial"/>
        <family val="2"/>
      </rPr>
      <t xml:space="preserve"> (H, zum FertigBacken)</t>
    </r>
  </si>
  <si>
    <t>Az:LEMBERONA  BOCKSHORNKLEE Keimsaat</t>
  </si>
  <si>
    <t>##T sonnentor WACHOLDERBEEREN Albanien</t>
  </si>
  <si>
    <t>BB Lebensb.   INGWER gemahlen kbA Peru</t>
  </si>
  <si>
    <r>
      <t>mmmmmmmsmmmm</t>
    </r>
    <r>
      <rPr>
        <b/>
        <sz val="12"/>
        <rFont val="Arial"/>
        <family val="2"/>
      </rPr>
      <t>MAISSTÄRKE</t>
    </r>
  </si>
  <si>
    <t>PGPR = Polyglycerin-Polyricinoleat</t>
  </si>
  <si>
    <t>EG3 dynamic  75W</t>
  </si>
  <si>
    <t>2016-08</t>
  </si>
  <si>
    <t>##T  N&amp;R Haselnüsse Türk</t>
  </si>
  <si>
    <t>ho  Cashew-Kerne</t>
  </si>
  <si>
    <t>** Bi bio   USA</t>
  </si>
  <si>
    <r>
      <t xml:space="preserve">(NUR manche) PM   Natura 10x180 </t>
    </r>
    <r>
      <rPr>
        <sz val="10"/>
        <color indexed="55"/>
        <rFont val="Arial"/>
        <family val="2"/>
      </rPr>
      <t>(110g/Rolle)</t>
    </r>
  </si>
  <si>
    <r>
      <t xml:space="preserve">*  B JaN </t>
    </r>
    <r>
      <rPr>
        <b/>
        <sz val="10"/>
        <color indexed="55"/>
        <rFont val="Arial"/>
        <family val="2"/>
      </rPr>
      <t>ZuckerKarotten Ö</t>
    </r>
  </si>
  <si>
    <t>Pkg.</t>
  </si>
  <si>
    <t xml:space="preserve">spar  bioK"ZwiebelSchmalz"  </t>
  </si>
  <si>
    <t>www.fahrrad.co.at</t>
  </si>
  <si>
    <t>XXXXX</t>
  </si>
  <si>
    <t>2004-10</t>
  </si>
  <si>
    <t>T Dillspitzen kbA</t>
  </si>
  <si>
    <t>BULgarien</t>
  </si>
  <si>
    <t>~aus</t>
  </si>
  <si>
    <t>(va.erbsen)</t>
  </si>
  <si>
    <t>Asia-1  - MSDF GATEWAY OF INDIA</t>
  </si>
  <si>
    <r>
      <t xml:space="preserve">   SSEITAN   </t>
    </r>
    <r>
      <rPr>
        <b/>
        <sz val="14"/>
        <rFont val="Arial"/>
        <family val="2"/>
      </rPr>
      <t>SEITAN</t>
    </r>
  </si>
  <si>
    <r>
      <t>B</t>
    </r>
    <r>
      <rPr>
        <b/>
        <i/>
        <sz val="12"/>
        <rFont val="Arial"/>
        <family val="2"/>
      </rPr>
      <t>io</t>
    </r>
    <r>
      <rPr>
        <b/>
        <i/>
        <sz val="12"/>
        <color indexed="10"/>
        <rFont val="Arial"/>
        <family val="2"/>
      </rPr>
      <t>H</t>
    </r>
    <r>
      <rPr>
        <b/>
        <i/>
        <sz val="12"/>
        <rFont val="Arial"/>
        <family val="2"/>
      </rPr>
      <t>of Prohaska, Leopoldauerplatz 4, 1</t>
    </r>
    <r>
      <rPr>
        <b/>
        <i/>
        <sz val="12"/>
        <color indexed="10"/>
        <rFont val="Arial"/>
        <family val="2"/>
      </rPr>
      <t>21</t>
    </r>
    <r>
      <rPr>
        <b/>
        <i/>
        <sz val="12"/>
        <rFont val="Arial"/>
        <family val="2"/>
      </rPr>
      <t>0 wien  (18.8 km von MHS60)</t>
    </r>
  </si>
  <si>
    <t>Asia-Shop SURYA, XII., Eichenstrasse 74 (/Wilhelmg.)</t>
  </si>
  <si>
    <t>***(*)   PM (kanarisch?)GELB</t>
  </si>
  <si>
    <t>ho NAVELINA Orangen GR</t>
  </si>
  <si>
    <t>BB  DeRit   Kidney Bohnen   350g Glas</t>
  </si>
  <si>
    <t>BB Oekoland  Petersilie  tiefgefroren</t>
  </si>
  <si>
    <t>(aktion)</t>
  </si>
  <si>
    <t>MAISGRIESS</t>
  </si>
  <si>
    <t>E2  alkaline 9V-block</t>
  </si>
  <si>
    <t>denns KürbisKerne bio  ?Ö</t>
  </si>
  <si>
    <t>dm alnatura VK Spaghetti</t>
  </si>
  <si>
    <t>Penny  UHU STIC 2x21</t>
  </si>
  <si>
    <r>
      <t xml:space="preserve">  -- (neu:05/014)  </t>
    </r>
    <r>
      <rPr>
        <b/>
        <sz val="8"/>
        <color indexed="12"/>
        <rFont val="Arial"/>
        <family val="2"/>
      </rPr>
      <t>hofer Spitz bella LEMON (Waffeln)</t>
    </r>
  </si>
  <si>
    <r>
      <t>--  lidl bio GoisererLaib</t>
    </r>
    <r>
      <rPr>
        <b/>
        <sz val="10"/>
        <color indexed="48"/>
        <rFont val="Arial"/>
        <family val="2"/>
      </rPr>
      <t xml:space="preserve"> </t>
    </r>
    <r>
      <rPr>
        <b/>
        <sz val="10"/>
        <color indexed="14"/>
        <rFont val="Arial"/>
        <family val="2"/>
      </rPr>
      <t>Kakao</t>
    </r>
  </si>
  <si>
    <r>
      <t xml:space="preserve">--  lidl bio </t>
    </r>
    <r>
      <rPr>
        <b/>
        <sz val="10"/>
        <color indexed="10"/>
        <rFont val="Arial"/>
        <family val="2"/>
      </rPr>
      <t>GoisererLaib</t>
    </r>
    <r>
      <rPr>
        <b/>
        <sz val="10"/>
        <color indexed="48"/>
        <rFont val="Arial"/>
        <family val="2"/>
      </rPr>
      <t xml:space="preserve"> </t>
    </r>
    <r>
      <rPr>
        <b/>
        <sz val="10"/>
        <color indexed="14"/>
        <rFont val="Arial"/>
        <family val="2"/>
      </rPr>
      <t>Kakao</t>
    </r>
  </si>
  <si>
    <r>
      <t xml:space="preserve">hofer </t>
    </r>
    <r>
      <rPr>
        <b/>
        <sz val="8"/>
        <color indexed="14"/>
        <rFont val="Arial"/>
        <family val="2"/>
      </rPr>
      <t>SchwarzwälderKirschTorte</t>
    </r>
  </si>
  <si>
    <t>##T  *** TerraSana  NEU</t>
  </si>
  <si>
    <t>billa  güllüler  Kürbiskerne geröstet</t>
  </si>
  <si>
    <t>T  VollKraft Hildegard  kbA rein pflanzlich</t>
  </si>
  <si>
    <t>T GALGANT  NOTbio</t>
  </si>
  <si>
    <t>B  PASSATA  JaN kbA</t>
  </si>
  <si>
    <r>
      <t>RAPS</t>
    </r>
    <r>
      <rPr>
        <b/>
        <sz val="12"/>
        <rFont val="Arial"/>
        <family val="2"/>
      </rPr>
      <t>ÖL</t>
    </r>
  </si>
  <si>
    <t xml:space="preserve">=EG16=ILM, MeidlingerHauptstr.  16-18  </t>
  </si>
  <si>
    <t>EG15   rioXX  5/8/11/15 W</t>
  </si>
  <si>
    <t xml:space="preserve"> Post   UHU-Stick (30g)</t>
  </si>
  <si>
    <t>***  T -SojVita RT</t>
  </si>
  <si>
    <t>Spar  Shan'shi 330g Glas</t>
  </si>
  <si>
    <t>AMAZON- rice&amp;rice</t>
  </si>
  <si>
    <t>Guar Gum</t>
  </si>
  <si>
    <t>Billa BIRELL  fl</t>
  </si>
  <si>
    <t>***(*)  ho GRÜN "Piel de Sapo"  ?Esp</t>
  </si>
  <si>
    <t>?????</t>
  </si>
  <si>
    <t xml:space="preserve"> M  i s t</t>
  </si>
  <si>
    <t>AUS</t>
  </si>
  <si>
    <t>2013-04</t>
  </si>
  <si>
    <t>INDO</t>
  </si>
  <si>
    <t xml:space="preserve">zuletzt </t>
  </si>
  <si>
    <t>2010-02</t>
  </si>
  <si>
    <t xml:space="preserve">Birkengold bio </t>
  </si>
  <si>
    <t xml:space="preserve">Birkengold </t>
  </si>
  <si>
    <t>lidl  FinCarre "FT" Zartbitter 50%</t>
  </si>
  <si>
    <r>
      <t xml:space="preserve">B13  weiss </t>
    </r>
    <r>
      <rPr>
        <b/>
        <i/>
        <sz val="11"/>
        <color indexed="8"/>
        <rFont val="Arial"/>
        <family val="2"/>
      </rPr>
      <t>demeter</t>
    </r>
    <r>
      <rPr>
        <sz val="10"/>
        <color indexed="8"/>
        <rFont val="Arial"/>
        <family val="2"/>
      </rPr>
      <t xml:space="preserve"> Ö</t>
    </r>
  </si>
  <si>
    <t xml:space="preserve"> Birkengold Edelbitter zuckerfrei Xylit FT  85%  BIRKENGOLD</t>
  </si>
  <si>
    <t xml:space="preserve"> BirkengoldZartlbitter zuckerfrei Xylit FT  55%  BIRKENGOLD</t>
  </si>
  <si>
    <t>T Sonnentor HAGEBUTTEN</t>
  </si>
  <si>
    <t xml:space="preserve">****   BB  ElStar  Ö  </t>
  </si>
  <si>
    <t>***  BB  Taifun Graffiti-Tofu-Terrine</t>
  </si>
  <si>
    <t>2012-07</t>
  </si>
  <si>
    <t>* dm alnatura PETERSILIE aus ?</t>
  </si>
  <si>
    <r>
      <t xml:space="preserve"> dm dgPlus  Mg  </t>
    </r>
    <r>
      <rPr>
        <b/>
        <sz val="10"/>
        <color indexed="10"/>
        <rFont val="Arial"/>
        <family val="2"/>
      </rPr>
      <t>(187</t>
    </r>
    <r>
      <rPr>
        <sz val="10"/>
        <color indexed="10"/>
        <rFont val="Arial"/>
        <family val="2"/>
      </rPr>
      <t xml:space="preserve"> mg)</t>
    </r>
  </si>
  <si>
    <t>merkur JaN Feigen</t>
  </si>
  <si>
    <t>***  lidl   Körndlbrot</t>
  </si>
  <si>
    <t>ho  NaturAktiv  330g Glas Ö</t>
  </si>
  <si>
    <t>hofer Sauerkraut</t>
  </si>
  <si>
    <t>~OK</t>
  </si>
  <si>
    <t>S</t>
  </si>
  <si>
    <t>Bosnien/Herzogowina / IMO (???)</t>
  </si>
  <si>
    <t>2003-03</t>
  </si>
  <si>
    <t>denns  9cm/11cm</t>
  </si>
  <si>
    <t>refill24(MHS65)  ?3*5</t>
  </si>
  <si>
    <r>
      <t xml:space="preserve">&lt;==????                  spar  VITAL  </t>
    </r>
    <r>
      <rPr>
        <b/>
        <sz val="10"/>
        <color indexed="8"/>
        <rFont val="Arial"/>
        <family val="2"/>
      </rPr>
      <t>SOJA Vanille</t>
    </r>
    <r>
      <rPr>
        <sz val="10"/>
        <color indexed="8"/>
        <rFont val="Arial"/>
        <family val="2"/>
      </rPr>
      <t xml:space="preserve">    1l==550g</t>
    </r>
  </si>
  <si>
    <t>spar NaturPur(=bio) Sorte:Maya  ISR</t>
  </si>
  <si>
    <t>T  other  kbA   ?PHIL</t>
  </si>
  <si>
    <r>
      <t xml:space="preserve">EG69  Juanca </t>
    </r>
    <r>
      <rPr>
        <b/>
        <sz val="10"/>
        <color indexed="12"/>
        <rFont val="Arial"/>
        <family val="2"/>
      </rPr>
      <t>Mais geröstet</t>
    </r>
    <r>
      <rPr>
        <sz val="10"/>
        <color indexed="12"/>
        <rFont val="Arial"/>
        <family val="2"/>
      </rPr>
      <t xml:space="preserve"> und gesalzen</t>
    </r>
  </si>
  <si>
    <t>2016-11</t>
  </si>
  <si>
    <t>#denns Chinakohl  Ö</t>
  </si>
  <si>
    <t xml:space="preserve"> denns  davert  SOJABOHNEN gruen kbA</t>
  </si>
  <si>
    <t>EG69   TIXO  Boy</t>
  </si>
  <si>
    <t>hofer bio  Ö</t>
  </si>
  <si>
    <r>
      <t xml:space="preserve">*** </t>
    </r>
    <r>
      <rPr>
        <b/>
        <sz val="10"/>
        <color indexed="40"/>
        <rFont val="Arial"/>
        <family val="2"/>
      </rPr>
      <t xml:space="preserve"> ET Hayat hell TÜRK</t>
    </r>
  </si>
  <si>
    <t>pro g</t>
  </si>
  <si>
    <t xml:space="preserve"> ho WinterGemüse ZZU Ö</t>
  </si>
  <si>
    <r>
      <t xml:space="preserve">dm Alnatura  </t>
    </r>
    <r>
      <rPr>
        <sz val="10"/>
        <color indexed="10"/>
        <rFont val="Arial"/>
        <family val="2"/>
      </rPr>
      <t xml:space="preserve"> Polenta</t>
    </r>
  </si>
  <si>
    <t>100 ml ~ 1 Evro</t>
  </si>
  <si>
    <t>2015-09</t>
  </si>
  <si>
    <t>ET0  Koska   hell TÜRK</t>
  </si>
  <si>
    <t>**  B GranCocina KAIKU  (nicht bio aber auch nicht allzu junk)</t>
  </si>
  <si>
    <t>2013-08</t>
  </si>
  <si>
    <t>(700g)</t>
  </si>
  <si>
    <t>billa Philips 100W</t>
  </si>
  <si>
    <t>2009-05</t>
  </si>
  <si>
    <t>ho HappyHarvest  USA</t>
  </si>
  <si>
    <t>#lidl Heimt Marchfelder Ö</t>
  </si>
  <si>
    <r>
      <t xml:space="preserve">rzrz   </t>
    </r>
    <r>
      <rPr>
        <b/>
        <sz val="12"/>
        <rFont val="Arial"/>
        <family val="2"/>
      </rPr>
      <t>RÖSTZWIEBEL</t>
    </r>
  </si>
  <si>
    <r>
      <t xml:space="preserve">St. </t>
    </r>
    <r>
      <rPr>
        <b/>
        <i/>
        <sz val="10"/>
        <color indexed="10"/>
        <rFont val="Arial"/>
        <family val="2"/>
      </rPr>
      <t>J</t>
    </r>
    <r>
      <rPr>
        <b/>
        <i/>
        <sz val="10"/>
        <rFont val="Arial"/>
        <family val="2"/>
      </rPr>
      <t>osef, VII., Zollergasse</t>
    </r>
  </si>
  <si>
    <t>**   #hofer  Brotkörbchen</t>
  </si>
  <si>
    <t>-30%</t>
  </si>
  <si>
    <r>
      <t xml:space="preserve">B13  Eisblumerl </t>
    </r>
    <r>
      <rPr>
        <b/>
        <sz val="10"/>
        <rFont val="Arial"/>
        <family val="2"/>
      </rPr>
      <t>SONNENBLUMENKERNMUS</t>
    </r>
    <r>
      <rPr>
        <sz val="10"/>
        <rFont val="Arial"/>
        <family val="0"/>
      </rPr>
      <t xml:space="preserve">  bio </t>
    </r>
  </si>
  <si>
    <r>
      <t xml:space="preserve">B13  Eisblumerl </t>
    </r>
    <r>
      <rPr>
        <b/>
        <sz val="10"/>
        <color indexed="55"/>
        <rFont val="Arial"/>
        <family val="2"/>
      </rPr>
      <t>SONNENBLUMENKERNMUS</t>
    </r>
    <r>
      <rPr>
        <sz val="10"/>
        <color indexed="55"/>
        <rFont val="Arial"/>
        <family val="2"/>
      </rPr>
      <t xml:space="preserve">  bio </t>
    </r>
  </si>
  <si>
    <t>BILLIGER geworden !</t>
  </si>
  <si>
    <t>MAITAKE PILZE (getrocknet)</t>
  </si>
  <si>
    <r>
      <t>BB Bösen  Weizen-</t>
    </r>
    <r>
      <rPr>
        <b/>
        <sz val="10"/>
        <color indexed="17"/>
        <rFont val="Arial"/>
        <family val="2"/>
      </rPr>
      <t>Vollkorn</t>
    </r>
    <r>
      <rPr>
        <b/>
        <sz val="10"/>
        <color indexed="8"/>
        <rFont val="Arial"/>
        <family val="2"/>
      </rPr>
      <t xml:space="preserve"> </t>
    </r>
  </si>
  <si>
    <t>KP10</t>
  </si>
  <si>
    <t>kaufpunkt  Quellenstr. 63</t>
  </si>
  <si>
    <t>L  Maizena</t>
  </si>
  <si>
    <t>amazon/OdolMed3</t>
  </si>
  <si>
    <t>***  #hofer  ZZU bio Sesam(5%)-Kornweckerl 3x80g</t>
  </si>
  <si>
    <r>
      <t xml:space="preserve">TTEIG  TWTW     </t>
    </r>
    <r>
      <rPr>
        <b/>
        <sz val="12"/>
        <rFont val="Arial"/>
        <family val="2"/>
      </rPr>
      <t>TEIGWAREN</t>
    </r>
  </si>
  <si>
    <t>2005-06</t>
  </si>
  <si>
    <t>V-BD</t>
  </si>
  <si>
    <t>BioDom (Villach)</t>
  </si>
  <si>
    <r>
      <t>eeee</t>
    </r>
    <r>
      <rPr>
        <b/>
        <sz val="12"/>
        <rFont val="Arial"/>
        <family val="2"/>
      </rPr>
      <t>ERDNÜSSE</t>
    </r>
  </si>
  <si>
    <t>*-*  BB Tofutti vanille</t>
  </si>
  <si>
    <t>AMAZON Alnatura  Bio Leisamenbrot</t>
  </si>
  <si>
    <t>Lidl  Grafschafter Roggen-Vollkornbrot Classic (H)</t>
  </si>
  <si>
    <t>BB Basic Feigen Lerida bio ESP</t>
  </si>
  <si>
    <t>?? Blau(dicker)</t>
  </si>
  <si>
    <t>??  Explorer (halbsynthetisch)</t>
  </si>
  <si>
    <t>spar  VITAL  SOJA Vanille   1l==550g</t>
  </si>
  <si>
    <t>***  ho  ZZU Seewinkler   Ö</t>
  </si>
  <si>
    <t xml:space="preserve">dm  </t>
  </si>
  <si>
    <t>2021-03</t>
  </si>
  <si>
    <t>*** Bi   Paradeiser"raritäten"</t>
  </si>
  <si>
    <t>denns  D2 (Lindeng.)</t>
  </si>
  <si>
    <t xml:space="preserve">BB  Rapunzel BIO  </t>
  </si>
  <si>
    <t>Mo-Fr 7:40-20  Sa -8-18</t>
  </si>
  <si>
    <t>Floridsdorf, N&amp;R==Natur-und-Reform</t>
  </si>
  <si>
    <t>2012-04</t>
  </si>
  <si>
    <t>Billigshop "sconto ballon", X., Pennersdorferstr. 31</t>
  </si>
  <si>
    <t>EVI</t>
  </si>
  <si>
    <t>B13  Chinakohl  Ö</t>
  </si>
  <si>
    <t>'photo'    CR 123 A</t>
  </si>
  <si>
    <t>***  Bi  JaN  ESP</t>
  </si>
  <si>
    <t>TAHIN  hell</t>
  </si>
  <si>
    <t>lidl Bellarom bio arabica</t>
  </si>
  <si>
    <t>Spar Vital</t>
  </si>
  <si>
    <t>FI</t>
  </si>
  <si>
    <t>Finnland</t>
  </si>
  <si>
    <t>-15%</t>
  </si>
  <si>
    <t>2020-01</t>
  </si>
  <si>
    <t>B, Merkur  bioLeben Dinkel Knusper-Brezel</t>
  </si>
  <si>
    <t>?aktion</t>
  </si>
  <si>
    <t>'Echt Günstig'  Ecke Siebenbrunneng./Reinprechtstorfferstr.??</t>
  </si>
  <si>
    <t>Spar  Champignons 3.Wahl  400gDose "in Ö für NL hergest"</t>
  </si>
  <si>
    <t>E1</t>
  </si>
  <si>
    <t>2019-06</t>
  </si>
  <si>
    <t>##T  Vollkraft  blau USA</t>
  </si>
  <si>
    <t>WALNÜSSE</t>
  </si>
  <si>
    <t>(ASIA) DOSEN, gemüse</t>
  </si>
  <si>
    <t>***  B JaN parboiled  It</t>
  </si>
  <si>
    <t>AMAZON-HappyBelly salty soft corn 8*200</t>
  </si>
  <si>
    <t>2022-03</t>
  </si>
  <si>
    <t xml:space="preserve">Spar SwissFrey extraDark(72%)+Haselnuss(25%) </t>
  </si>
  <si>
    <r>
      <t xml:space="preserve">***  B4,B13  Taifun  </t>
    </r>
    <r>
      <rPr>
        <b/>
        <i/>
        <sz val="11"/>
        <color indexed="55"/>
        <rFont val="Arial"/>
        <family val="2"/>
      </rPr>
      <t>demeter</t>
    </r>
    <r>
      <rPr>
        <sz val="10"/>
        <color indexed="55"/>
        <rFont val="Arial"/>
        <family val="2"/>
      </rPr>
      <t xml:space="preserve">  Pizza Bratfilets</t>
    </r>
  </si>
  <si>
    <t>ho  "8 Kräuter"</t>
  </si>
  <si>
    <t>ho  "Italienische Kräuter"</t>
  </si>
  <si>
    <t>ho  Gusto edelsüß ???</t>
  </si>
  <si>
    <t xml:space="preserve">B13  xxx </t>
  </si>
  <si>
    <r>
      <t>SELBSTGESCHNITTEN</t>
    </r>
    <r>
      <rPr>
        <sz val="10"/>
        <color indexed="55"/>
        <rFont val="Arial"/>
        <family val="2"/>
      </rPr>
      <t xml:space="preserve"> aus Billa-bio-Semmel</t>
    </r>
  </si>
  <si>
    <t>hofer Choceur noir Framboise Venezela 55%</t>
  </si>
  <si>
    <t>Fumarsäure</t>
  </si>
  <si>
    <t>Apfelsäure</t>
  </si>
  <si>
    <t>Ascorbinsäure</t>
  </si>
  <si>
    <r>
      <t xml:space="preserve">billa Ölz Kletzenbrot 70%Früchte  </t>
    </r>
    <r>
      <rPr>
        <sz val="10"/>
        <color indexed="14"/>
        <rFont val="Arial"/>
        <family val="2"/>
      </rPr>
      <t>GFS</t>
    </r>
  </si>
  <si>
    <t>E1 BAKTAT Kürbiskerne geröstet</t>
  </si>
  <si>
    <r>
      <t xml:space="preserve">##T  Vivani fine bitter organic  </t>
    </r>
    <r>
      <rPr>
        <b/>
        <sz val="12"/>
        <color indexed="55"/>
        <rFont val="Arial"/>
        <family val="2"/>
      </rPr>
      <t>85%</t>
    </r>
  </si>
  <si>
    <t>***   #T  Schrott WeizenWanderl (Hefe)  Ö</t>
  </si>
  <si>
    <r>
      <t>*-</t>
    </r>
    <r>
      <rPr>
        <sz val="10"/>
        <color indexed="8"/>
        <rFont val="Arial"/>
        <family val="2"/>
      </rPr>
      <t xml:space="preserve">  BB  Taifun Tofritto Cashew/Olive</t>
    </r>
  </si>
  <si>
    <t>GIBZWIDA</t>
  </si>
  <si>
    <t>Tofu ger.</t>
  </si>
  <si>
    <t>&lt; Jo</t>
  </si>
  <si>
    <t>2017-01</t>
  </si>
  <si>
    <t>***  ho  Navelina Orangen  It</t>
  </si>
  <si>
    <r>
      <t xml:space="preserve">BB Lebensbaum </t>
    </r>
    <r>
      <rPr>
        <b/>
        <i/>
        <sz val="13"/>
        <rFont val="Arial"/>
        <family val="2"/>
      </rPr>
      <t>demeter</t>
    </r>
    <r>
      <rPr>
        <sz val="12"/>
        <rFont val="Arial"/>
        <family val="2"/>
      </rPr>
      <t xml:space="preserve"> </t>
    </r>
    <r>
      <rPr>
        <sz val="12"/>
        <color indexed="9"/>
        <rFont val="Arial"/>
        <family val="2"/>
      </rPr>
      <t>b</t>
    </r>
    <r>
      <rPr>
        <b/>
        <sz val="12"/>
        <rFont val="Arial"/>
        <family val="2"/>
      </rPr>
      <t>BASILIKUM</t>
    </r>
  </si>
  <si>
    <t>+10c/Fl</t>
  </si>
  <si>
    <t>denns s'schrotterl bio-VK-Weizen-Brösel</t>
  </si>
  <si>
    <t>2016-05</t>
  </si>
  <si>
    <t xml:space="preserve">**  #denns  Soto   MINIFRÜHLINGSROELLCHEN thai)  </t>
  </si>
  <si>
    <t>caucawa.at bio roh Peru</t>
  </si>
  <si>
    <t>caucawa.at handgeschält geröstet Brasilien</t>
  </si>
  <si>
    <t>dm alnatura VK-Dinkelbrezeln</t>
  </si>
  <si>
    <t>Karaya gum, Sterculia gum</t>
  </si>
  <si>
    <t>BB sonnentor BÄRLAUCH geschnitten kbA BH</t>
  </si>
  <si>
    <t>BH</t>
  </si>
  <si>
    <t>-  B13 Sonnetor Korianderkraut kbA Ö/BCS</t>
  </si>
  <si>
    <t xml:space="preserve">dm lebePur KakaoNIBS </t>
  </si>
  <si>
    <r>
      <t xml:space="preserve">muwa </t>
    </r>
    <r>
      <rPr>
        <b/>
        <sz val="12"/>
        <color indexed="18"/>
        <rFont val="Arial"/>
        <family val="2"/>
      </rPr>
      <t>MUNDWASSER, MUNDSPÜLUNG</t>
    </r>
  </si>
  <si>
    <t>#hofer zzU bio Ö, Marchfeld</t>
  </si>
  <si>
    <t>2020-02</t>
  </si>
  <si>
    <r>
      <t xml:space="preserve">lidl </t>
    </r>
    <r>
      <rPr>
        <b/>
        <sz val="10"/>
        <color indexed="40"/>
        <rFont val="Arial"/>
        <family val="2"/>
      </rPr>
      <t>PINOVA</t>
    </r>
    <r>
      <rPr>
        <sz val="10"/>
        <color indexed="40"/>
        <rFont val="Arial"/>
        <family val="2"/>
      </rPr>
      <t xml:space="preserve">  Ö</t>
    </r>
  </si>
  <si>
    <t>ho  NaturAktiv  330g Glas</t>
  </si>
  <si>
    <t>PFANDFLASCHE!!!</t>
  </si>
  <si>
    <t>2018-03</t>
  </si>
  <si>
    <r>
      <t xml:space="preserve">BB  Sonnentor </t>
    </r>
    <r>
      <rPr>
        <i/>
        <sz val="12"/>
        <color indexed="10"/>
        <rFont val="Arial"/>
        <family val="2"/>
      </rPr>
      <t>demeter</t>
    </r>
    <r>
      <rPr>
        <sz val="12"/>
        <color indexed="10"/>
        <rFont val="Arial"/>
        <family val="2"/>
      </rPr>
      <t xml:space="preserve"> edelsüß  ?ESP</t>
    </r>
  </si>
  <si>
    <t>T Zimt gemahlen kbA</t>
  </si>
  <si>
    <t>BB   LebensBaum edelsüß D</t>
  </si>
  <si>
    <t>Kaffee 2016: 8 kg</t>
  </si>
  <si>
    <r>
      <t xml:space="preserve">SOFLO  </t>
    </r>
    <r>
      <rPr>
        <b/>
        <sz val="12"/>
        <rFont val="Arial"/>
        <family val="2"/>
      </rPr>
      <t>SOJAFLOCKEN</t>
    </r>
  </si>
  <si>
    <t>***  T Alber  Shiitake  (275ml Glas)</t>
  </si>
  <si>
    <t xml:space="preserve">ho  zzu    ...   aus Ö   </t>
  </si>
  <si>
    <t>2015-01</t>
  </si>
  <si>
    <t>PM Dorfingerl blau  Ö</t>
  </si>
  <si>
    <t>Billa  Clausthaler classic Fl.</t>
  </si>
  <si>
    <t>hofer Rotkraut</t>
  </si>
  <si>
    <t>tonershot  oekoline LJ1000</t>
  </si>
  <si>
    <t>2017-03</t>
  </si>
  <si>
    <t xml:space="preserve">denns  Blätter www.eubiotica.de </t>
  </si>
  <si>
    <t>denns    D</t>
  </si>
  <si>
    <t>Abkürzung</t>
  </si>
  <si>
    <t>T  Govinda kbA   PHIL</t>
  </si>
  <si>
    <t>www.SOJVITA.at</t>
  </si>
  <si>
    <t>#hofer zzU Waldviertler Ditta(=speckig) Ö</t>
  </si>
  <si>
    <t>2008-09</t>
  </si>
  <si>
    <t>BB Hiel</t>
  </si>
  <si>
    <t>##T  N&amp;R</t>
  </si>
  <si>
    <t>AMAZON Reine de  Dijon  3 glas</t>
  </si>
  <si>
    <t>AMAZON-alnatura bio 6*xxx glas</t>
  </si>
  <si>
    <t>lidl  bio Trauben weis It</t>
  </si>
  <si>
    <t>PM Ö</t>
  </si>
  <si>
    <r>
      <t xml:space="preserve">***  #dm </t>
    </r>
    <r>
      <rPr>
        <b/>
        <sz val="10"/>
        <color indexed="14"/>
        <rFont val="Arial"/>
        <family val="2"/>
      </rPr>
      <t>alnatura</t>
    </r>
    <r>
      <rPr>
        <b/>
        <sz val="10"/>
        <color indexed="17"/>
        <rFont val="Arial"/>
        <family val="2"/>
      </rPr>
      <t xml:space="preserve"> </t>
    </r>
    <r>
      <rPr>
        <sz val="10"/>
        <color indexed="14"/>
        <rFont val="Arial"/>
        <family val="2"/>
      </rPr>
      <t>Tomatensauce</t>
    </r>
  </si>
  <si>
    <t>spar   Eichelkürbis  Ö</t>
  </si>
  <si>
    <t>***  BB Naturmühle "FeelGood" geräuchert A</t>
  </si>
  <si>
    <t>Az-AlnaturA DATTELN entkernt</t>
  </si>
  <si>
    <t>SELBSTGESCHNITTEN aus ho.zzU Karotten-brot</t>
  </si>
  <si>
    <t>UV</t>
  </si>
  <si>
    <t>2013-09</t>
  </si>
  <si>
    <t>***  BB basic Champignons</t>
  </si>
  <si>
    <t>$/kg</t>
  </si>
  <si>
    <t>$</t>
  </si>
  <si>
    <t>total</t>
  </si>
  <si>
    <t>$ Pudding</t>
  </si>
  <si>
    <t>billa  JaN Ö</t>
  </si>
  <si>
    <t>**  B iliada gefüllte Weinblätter   400ml-Dose</t>
  </si>
  <si>
    <r>
      <t xml:space="preserve">***  B13  Taifun  </t>
    </r>
    <r>
      <rPr>
        <b/>
        <i/>
        <sz val="11"/>
        <color indexed="55"/>
        <rFont val="Arial"/>
        <family val="2"/>
      </rPr>
      <t>demeter</t>
    </r>
    <r>
      <rPr>
        <sz val="10"/>
        <color indexed="55"/>
        <rFont val="Arial"/>
        <family val="2"/>
      </rPr>
      <t xml:space="preserve">  japanische Bratfilets</t>
    </r>
  </si>
  <si>
    <t>BB  Marschland  Weisse Bohnen 330g Glas D</t>
  </si>
  <si>
    <t>BB BioPlanet SoBlu Fr</t>
  </si>
  <si>
    <t xml:space="preserve">billa   nix-bio  </t>
  </si>
  <si>
    <t>plemplem!</t>
  </si>
  <si>
    <r>
      <t>sss</t>
    </r>
    <r>
      <rPr>
        <b/>
        <sz val="12"/>
        <rFont val="Arial"/>
        <family val="2"/>
      </rPr>
      <t>Sticks (Salzstangerl)</t>
    </r>
  </si>
  <si>
    <t>B JaN POLPA kbA</t>
  </si>
  <si>
    <r>
      <t xml:space="preserve">--  EG69   </t>
    </r>
    <r>
      <rPr>
        <sz val="10"/>
        <color indexed="10"/>
        <rFont val="Arial"/>
        <family val="2"/>
      </rPr>
      <t>Jumbo</t>
    </r>
  </si>
  <si>
    <t>###T Vollwert Sojaschnetzel grob kbA</t>
  </si>
  <si>
    <t>T BioVita Orangenenschale (Pulver) kbA</t>
  </si>
  <si>
    <r>
      <t>FBFBFF</t>
    </r>
    <r>
      <rPr>
        <b/>
        <sz val="12"/>
        <rFont val="Arial"/>
        <family val="2"/>
      </rPr>
      <t>FRÜCHTEBROT / KLETZENBROT</t>
    </r>
  </si>
  <si>
    <r>
      <t xml:space="preserve">##T  Birkengold Zartbitter </t>
    </r>
    <r>
      <rPr>
        <i/>
        <sz val="11"/>
        <color indexed="55"/>
        <rFont val="Arial"/>
        <family val="2"/>
      </rPr>
      <t>zuckerfrei</t>
    </r>
    <r>
      <rPr>
        <sz val="10"/>
        <color indexed="55"/>
        <rFont val="Arial"/>
        <family val="2"/>
      </rPr>
      <t xml:space="preserve"> Xylit FT  </t>
    </r>
    <r>
      <rPr>
        <sz val="12"/>
        <color indexed="55"/>
        <rFont val="Arial"/>
        <family val="2"/>
      </rPr>
      <t>85%</t>
    </r>
  </si>
  <si>
    <t>T TerraSana Hatcho Miso kbA</t>
  </si>
  <si>
    <t>pro Dosis</t>
  </si>
  <si>
    <t>2008-06</t>
  </si>
  <si>
    <t>billa  JaN Risotto ARBORIO   It</t>
  </si>
  <si>
    <t>***  lidl   Ciabatta</t>
  </si>
  <si>
    <t>BB DellaNatura</t>
  </si>
  <si>
    <t>2022-08</t>
  </si>
  <si>
    <t>SC4</t>
  </si>
  <si>
    <t>TEESIEB / TEENETZ Baumwolle</t>
  </si>
  <si>
    <t>Torku TÜRK</t>
  </si>
  <si>
    <t>lidl  Heimat Ö</t>
  </si>
  <si>
    <r>
      <t xml:space="preserve">B13  Taifun  </t>
    </r>
    <r>
      <rPr>
        <b/>
        <i/>
        <sz val="11"/>
        <rFont val="Arial"/>
        <family val="2"/>
      </rPr>
      <t>demeter</t>
    </r>
    <r>
      <rPr>
        <b/>
        <sz val="10"/>
        <rFont val="Arial"/>
        <family val="2"/>
      </rPr>
      <t xml:space="preserve"> TOFU ROSSO</t>
    </r>
  </si>
  <si>
    <t xml:space="preserve">DM bio VK Farfalle </t>
  </si>
  <si>
    <t>DM bio schwach entält</t>
  </si>
  <si>
    <t>DM bio</t>
  </si>
  <si>
    <t>dm Alnatura Zuckermais  350g Glas</t>
  </si>
  <si>
    <r>
      <t xml:space="preserve">BB SPIELBERGER </t>
    </r>
    <r>
      <rPr>
        <b/>
        <i/>
        <sz val="12"/>
        <rFont val="Arial"/>
        <family val="2"/>
      </rPr>
      <t>demeter</t>
    </r>
    <r>
      <rPr>
        <sz val="10"/>
        <rFont val="Arial"/>
        <family val="2"/>
      </rPr>
      <t xml:space="preserve"> 1050  VONWO?</t>
    </r>
  </si>
  <si>
    <t>MHS18</t>
  </si>
  <si>
    <t>2005-09</t>
  </si>
  <si>
    <t>FEHL KAUF !!!</t>
  </si>
  <si>
    <r>
      <t>stevioglykosid</t>
    </r>
    <r>
      <rPr>
        <b/>
        <sz val="10"/>
        <color indexed="14"/>
        <rFont val="Arial"/>
        <family val="2"/>
      </rPr>
      <t>PULVER</t>
    </r>
  </si>
  <si>
    <r>
      <t>##T  STEVIAGLYCOSID</t>
    </r>
    <r>
      <rPr>
        <b/>
        <u val="single"/>
        <sz val="10"/>
        <color indexed="8"/>
        <rFont val="Arial"/>
        <family val="2"/>
      </rPr>
      <t>EXTRAKT</t>
    </r>
    <r>
      <rPr>
        <b/>
        <sz val="10"/>
        <color indexed="48"/>
        <rFont val="Arial"/>
        <family val="2"/>
      </rPr>
      <t xml:space="preserve"> VollKraft</t>
    </r>
  </si>
  <si>
    <t>SPAR-Rama</t>
  </si>
  <si>
    <t>*** SPAR-Thea</t>
  </si>
  <si>
    <t>SPAR-Pittinger</t>
  </si>
  <si>
    <r>
      <t xml:space="preserve">##T  </t>
    </r>
    <r>
      <rPr>
        <b/>
        <i/>
        <sz val="10"/>
        <color indexed="8"/>
        <rFont val="Arial"/>
        <family val="2"/>
      </rPr>
      <t>demeter</t>
    </r>
    <r>
      <rPr>
        <b/>
        <sz val="10"/>
        <color indexed="8"/>
        <rFont val="Arial"/>
        <family val="2"/>
      </rPr>
      <t xml:space="preserve"> "Schweizer"  360g Glasl  </t>
    </r>
  </si>
  <si>
    <t>T  VollKraft</t>
  </si>
  <si>
    <t>ASS Hexal 100x100</t>
  </si>
  <si>
    <r>
      <t>SSTEVIA</t>
    </r>
    <r>
      <rPr>
        <b/>
        <sz val="12"/>
        <color indexed="22"/>
        <rFont val="Arial"/>
        <family val="2"/>
      </rPr>
      <t xml:space="preserve">     </t>
    </r>
    <r>
      <rPr>
        <b/>
        <sz val="12"/>
        <rFont val="Arial"/>
        <family val="2"/>
      </rPr>
      <t xml:space="preserve">STEVIA Rebaudiana   gemahlen  </t>
    </r>
    <r>
      <rPr>
        <b/>
        <sz val="12"/>
        <color indexed="17"/>
        <rFont val="Arial"/>
        <family val="2"/>
      </rPr>
      <t>STEVIAPUR</t>
    </r>
  </si>
  <si>
    <t>2011-06</t>
  </si>
  <si>
    <t>BB  Rapunzel kbA pflanzlich+Hefe</t>
  </si>
  <si>
    <t xml:space="preserve"> T -- STEVIAPUR vermahlen inkl. Blätter und Wurzeln VollKraft</t>
  </si>
  <si>
    <t>#lidl  freshona  NL</t>
  </si>
  <si>
    <t>hofer Choceur noir Cassis Venezela 55%</t>
  </si>
  <si>
    <t>2010-06</t>
  </si>
  <si>
    <t>T vollkraft PFEFFER schwarz ganz</t>
  </si>
  <si>
    <t>FreshSales Platinum</t>
  </si>
  <si>
    <t>lidl  Gross  Arriba Sup. 81%</t>
  </si>
  <si>
    <t>billa clever Roggen Vollkorn</t>
  </si>
  <si>
    <t>T Dillspitzen kbA D</t>
  </si>
  <si>
    <t>MARILLEN</t>
  </si>
  <si>
    <t>ZITRONEN</t>
  </si>
  <si>
    <t>/Stk.</t>
  </si>
  <si>
    <t>lidl</t>
  </si>
  <si>
    <t>ho</t>
  </si>
  <si>
    <t>##T Rapunzel</t>
  </si>
  <si>
    <t>refill24 BCI-24 BK  100ml</t>
  </si>
  <si>
    <t>Tonershop</t>
  </si>
  <si>
    <r>
      <t xml:space="preserve">BB  Butternut  </t>
    </r>
    <r>
      <rPr>
        <b/>
        <i/>
        <sz val="11"/>
        <color indexed="55"/>
        <rFont val="Arial"/>
        <family val="2"/>
      </rPr>
      <t>demeter</t>
    </r>
    <r>
      <rPr>
        <b/>
        <sz val="10"/>
        <color indexed="55"/>
        <rFont val="Arial"/>
        <family val="2"/>
      </rPr>
      <t xml:space="preserve">  It</t>
    </r>
  </si>
  <si>
    <t>BB  viana  FRÜHLINGSROLLEN kbA</t>
  </si>
  <si>
    <t>WASSERMELONE</t>
  </si>
  <si>
    <t>$/MJ</t>
  </si>
  <si>
    <t>ho  NaturAktiv    99.4%+Salz,Z.sre  It</t>
  </si>
  <si>
    <t>(-)  B JaN parboiled  THAI</t>
  </si>
  <si>
    <t>hofer  xxx</t>
  </si>
  <si>
    <t>(ASIA) DOSEN, suppen</t>
  </si>
  <si>
    <t>Kichererbsen getrocknet</t>
  </si>
  <si>
    <t>AMAZON-BulgarianNuts BG</t>
  </si>
  <si>
    <t xml:space="preserve"> *** #denns Erhardt demeter MEERRETTICH glas</t>
  </si>
  <si>
    <t>KÜRBIS</t>
  </si>
  <si>
    <t>2012-08</t>
  </si>
  <si>
    <t>MELONEN</t>
  </si>
  <si>
    <t>2010-12</t>
  </si>
  <si>
    <t xml:space="preserve">  Stk.</t>
  </si>
  <si>
    <t>FAHRRAD</t>
  </si>
  <si>
    <t>CZ</t>
  </si>
  <si>
    <t>ho  ZZU  Hokkaido  A</t>
  </si>
  <si>
    <t>2012-12</t>
  </si>
  <si>
    <t>BB Lebensbaum KREUZKÜMMEL==CUMIN ganz  IND</t>
  </si>
  <si>
    <t xml:space="preserve">ho  ZZU  Ö </t>
  </si>
  <si>
    <t xml:space="preserve">  m.asia  longevity "CHIN.BAUMPILZE"  Shiitake  CH</t>
  </si>
  <si>
    <t>#hofer bio Ö</t>
  </si>
  <si>
    <r>
      <t xml:space="preserve">ho Spitzpaprika </t>
    </r>
    <r>
      <rPr>
        <sz val="10"/>
        <color indexed="14"/>
        <rFont val="Arial"/>
        <family val="2"/>
      </rPr>
      <t>GR</t>
    </r>
  </si>
  <si>
    <t>BB ??</t>
  </si>
  <si>
    <t>***  B JaN  Petersilie  tiefgefroren</t>
  </si>
  <si>
    <t>aktion (?)</t>
  </si>
  <si>
    <t>2014-07</t>
  </si>
  <si>
    <t xml:space="preserve">denns bioVK Schrott </t>
  </si>
  <si>
    <r>
      <t xml:space="preserve">KKM </t>
    </r>
    <r>
      <rPr>
        <b/>
        <sz val="12"/>
        <rFont val="Arial"/>
        <family val="2"/>
      </rPr>
      <t xml:space="preserve">  KOKOSMEHL</t>
    </r>
  </si>
  <si>
    <t>Mo-Fr 9-13:30+14-18:15  Sa 9-13</t>
  </si>
  <si>
    <t>lidl bio VK Spaghetti</t>
  </si>
  <si>
    <r>
      <t xml:space="preserve">TOM.PASSsss  </t>
    </r>
    <r>
      <rPr>
        <b/>
        <sz val="12"/>
        <rFont val="Arial"/>
        <family val="2"/>
      </rPr>
      <t xml:space="preserve"> TOMATEN PASSATA </t>
    </r>
  </si>
  <si>
    <t>###T Vollkraft  kbA  N-EU (PET)</t>
  </si>
  <si>
    <t>Lidl: MHS63, Tivolig., ...</t>
  </si>
  <si>
    <t>#BB reife   EQU</t>
  </si>
  <si>
    <t>EG69  300ml</t>
  </si>
  <si>
    <t>lidl COL</t>
  </si>
  <si>
    <r>
      <t xml:space="preserve">BB spielberger </t>
    </r>
    <r>
      <rPr>
        <b/>
        <i/>
        <sz val="11"/>
        <color indexed="10"/>
        <rFont val="Arial"/>
        <family val="2"/>
      </rPr>
      <t>demeter</t>
    </r>
    <r>
      <rPr>
        <sz val="10"/>
        <color indexed="10"/>
        <rFont val="Arial"/>
        <family val="2"/>
      </rPr>
      <t xml:space="preserve"> grob  D</t>
    </r>
  </si>
  <si>
    <r>
      <t xml:space="preserve">hofer  </t>
    </r>
    <r>
      <rPr>
        <b/>
        <sz val="10"/>
        <color indexed="14"/>
        <rFont val="Arial"/>
        <family val="2"/>
      </rPr>
      <t>GoldÄhren</t>
    </r>
    <r>
      <rPr>
        <sz val="10"/>
        <color indexed="12"/>
        <rFont val="Arial"/>
        <family val="2"/>
      </rPr>
      <t xml:space="preserve">  Ö</t>
    </r>
  </si>
  <si>
    <t>**  'billa  "BioK" Aufstriche</t>
  </si>
  <si>
    <t>liter</t>
  </si>
  <si>
    <t>ILM==sc3   20W</t>
  </si>
  <si>
    <t>Bi  Ö(?)</t>
  </si>
  <si>
    <t>ET? Koska TÜRK</t>
  </si>
  <si>
    <t>***   T SojVita bio Spezial</t>
  </si>
  <si>
    <t>BB ilNutrimento   400g Dose</t>
  </si>
  <si>
    <t>##T   bio  Ö</t>
  </si>
  <si>
    <r>
      <t xml:space="preserve">#BB  Spielberger </t>
    </r>
    <r>
      <rPr>
        <b/>
        <i/>
        <sz val="11"/>
        <color indexed="55"/>
        <rFont val="Arial"/>
        <family val="2"/>
      </rPr>
      <t>demeter</t>
    </r>
  </si>
  <si>
    <r>
      <t>KKK</t>
    </r>
    <r>
      <rPr>
        <b/>
        <sz val="12"/>
        <rFont val="Arial"/>
        <family val="2"/>
      </rPr>
      <t>KARTOFFELN</t>
    </r>
  </si>
  <si>
    <t>KNABBERZEUGS</t>
  </si>
  <si>
    <t>IKEA       Mignon (AA)</t>
  </si>
  <si>
    <r>
      <t xml:space="preserve">dahl  daahl  </t>
    </r>
    <r>
      <rPr>
        <b/>
        <sz val="12"/>
        <rFont val="Arial"/>
        <family val="2"/>
      </rPr>
      <t>LINSEN ROT (</t>
    </r>
    <r>
      <rPr>
        <b/>
        <sz val="12"/>
        <color indexed="22"/>
        <rFont val="Arial"/>
        <family val="2"/>
      </rPr>
      <t>ddd</t>
    </r>
    <r>
      <rPr>
        <b/>
        <sz val="12"/>
        <rFont val="Arial"/>
        <family val="2"/>
      </rPr>
      <t>Daal)</t>
    </r>
  </si>
  <si>
    <t>2020-09</t>
  </si>
  <si>
    <t>T SojVita DIJONSENF kbA</t>
  </si>
  <si>
    <t xml:space="preserve">W=Wolle BW=BaumW   AC=polyACryl  PA=PolyAmid  PE=PolyEster EL=Elasthan  </t>
  </si>
  <si>
    <t>2009-02</t>
  </si>
  <si>
    <t>Zucchini  Ö</t>
  </si>
  <si>
    <r>
      <t xml:space="preserve">   </t>
    </r>
    <r>
      <rPr>
        <b/>
        <sz val="14"/>
        <color indexed="9"/>
        <rFont val="Arial"/>
        <family val="2"/>
      </rPr>
      <t>Ssss</t>
    </r>
    <r>
      <rPr>
        <b/>
        <sz val="14"/>
        <rFont val="Arial"/>
        <family val="2"/>
      </rPr>
      <t xml:space="preserve">SCHOKOLADE    </t>
    </r>
  </si>
  <si>
    <t>Erzeuger + Verbraucher = Initiativ:  österreichische BIO-lebensmittel</t>
  </si>
  <si>
    <t>(*) denns PeterHiel</t>
  </si>
  <si>
    <t>?? Dünne synth.</t>
  </si>
  <si>
    <t>billa  "BioK" GemüsePastete Grünkern</t>
  </si>
  <si>
    <t>Mo-Do 8-19   Fr 8-20   Sa 8-18</t>
  </si>
  <si>
    <t>BB Basic Zuckermais  350g Glas</t>
  </si>
  <si>
    <t>2011-05</t>
  </si>
  <si>
    <t>2003-01</t>
  </si>
  <si>
    <t>E2</t>
  </si>
  <si>
    <t>2002-12</t>
  </si>
  <si>
    <t>ZWIEBACK</t>
  </si>
  <si>
    <t xml:space="preserve">???        </t>
  </si>
  <si>
    <t>ho (PM) Listerine whitening 500ml</t>
  </si>
  <si>
    <r>
      <t xml:space="preserve">Hofer  </t>
    </r>
    <r>
      <rPr>
        <i/>
        <sz val="12"/>
        <color indexed="18"/>
        <rFont val="Arial"/>
        <family val="2"/>
      </rPr>
      <t xml:space="preserve"> </t>
    </r>
    <r>
      <rPr>
        <i/>
        <sz val="12"/>
        <color indexed="8"/>
        <rFont val="Arial"/>
        <family val="2"/>
      </rPr>
      <t>http://www.zurueckzumursprung.at</t>
    </r>
  </si>
  <si>
    <t>/100g</t>
  </si>
  <si>
    <r>
      <t xml:space="preserve">BB SPIELBERGER </t>
    </r>
    <r>
      <rPr>
        <b/>
        <i/>
        <sz val="12"/>
        <rFont val="Arial"/>
        <family val="2"/>
      </rPr>
      <t>demeter</t>
    </r>
    <r>
      <rPr>
        <sz val="10"/>
        <rFont val="Arial"/>
        <family val="2"/>
      </rPr>
      <t xml:space="preserve"> VK==Vollkorn  VONWO?</t>
    </r>
  </si>
  <si>
    <t>2011-07</t>
  </si>
  <si>
    <t>AMAZON-Listerine cool mint 500ml</t>
  </si>
  <si>
    <t>2021-07</t>
  </si>
  <si>
    <t>blau = NON-bio</t>
  </si>
  <si>
    <t>Stücklberger, BLAUER PLANET flüssig  2,5l</t>
  </si>
  <si>
    <t xml:space="preserve">T  reinweinsteinbackpulver    </t>
  </si>
  <si>
    <t>*** hofer NaturAktiv bio-Datteln OHNE K(!) 200g TUN</t>
  </si>
  <si>
    <t>SPAR  naturPur gemahlen</t>
  </si>
  <si>
    <r>
      <t>KKK</t>
    </r>
    <r>
      <rPr>
        <b/>
        <sz val="14"/>
        <color indexed="14"/>
        <rFont val="Arial"/>
        <family val="2"/>
      </rPr>
      <t>KAFFEE</t>
    </r>
  </si>
  <si>
    <t>SPAR Alvorada</t>
  </si>
  <si>
    <t>SPAR NaturPur bio-VK Roggen</t>
  </si>
  <si>
    <t>##T Vollwert Fr?</t>
  </si>
  <si>
    <t xml:space="preserve">  überall sauteuer ?</t>
  </si>
  <si>
    <t>Türk-R</t>
  </si>
  <si>
    <t>2009-12</t>
  </si>
  <si>
    <t>denns bioVK Dinkel   Rosenfellner</t>
  </si>
  <si>
    <t>***  d  Taifun  TOFU  Basilico</t>
  </si>
  <si>
    <t>BB  Spielberger demeter  Langkorn(Risotto)</t>
  </si>
  <si>
    <t>AKTION</t>
  </si>
  <si>
    <t>ho  ASIA Jap.</t>
  </si>
  <si>
    <t>BB  basic Kidney/braune/schw.   400g Dose</t>
  </si>
  <si>
    <t>Mono-und Di-glyceride von Fettsäuren</t>
  </si>
  <si>
    <t>denns diverse</t>
  </si>
  <si>
    <t>BB  Sonenntor PFEFFER schwarz    "D"</t>
  </si>
  <si>
    <t>gibz net???</t>
  </si>
  <si>
    <t>2006-01</t>
  </si>
  <si>
    <t>BB  Spielberger demeter  Dinkel hell</t>
  </si>
  <si>
    <t>denns    ??ITAL</t>
  </si>
  <si>
    <t>Schlecker As-dent,  50m</t>
  </si>
  <si>
    <r>
      <t>weinstein-</t>
    </r>
    <r>
      <rPr>
        <b/>
        <sz val="12"/>
        <color indexed="18"/>
        <rFont val="Arial"/>
        <family val="2"/>
      </rPr>
      <t>BACKPULVER</t>
    </r>
  </si>
  <si>
    <t>###T  Govinda kbA   PHIL</t>
  </si>
  <si>
    <t>BRA</t>
  </si>
  <si>
    <t>BRAsilien</t>
  </si>
  <si>
    <t>EG15   rioXX  5/11/ W</t>
  </si>
  <si>
    <t>K-Sorbat</t>
  </si>
  <si>
    <t xml:space="preserve">      AKZEPTABEL</t>
  </si>
  <si>
    <t xml:space="preserve">     BOYKOTTGRUND</t>
  </si>
  <si>
    <t>denns ShiiTake</t>
  </si>
  <si>
    <t>2011-12</t>
  </si>
  <si>
    <t>-25%'</t>
  </si>
  <si>
    <t>***  T -SojVita Nuss-Sesam  -50%</t>
  </si>
  <si>
    <t>dm alnatura öko</t>
  </si>
  <si>
    <t>hofer NaturesGold  400g Dose</t>
  </si>
  <si>
    <t>**   #hofer  ZZU Karottenbrot  aus Wien</t>
  </si>
  <si>
    <t>***  hofer  ZZU bio Kürbiskern(5%)-Kornweckerl 3x80g</t>
  </si>
  <si>
    <r>
      <t xml:space="preserve">BBBBohnen   Boooo     </t>
    </r>
    <r>
      <rPr>
        <b/>
        <sz val="14"/>
        <rFont val="Arial"/>
        <family val="2"/>
      </rPr>
      <t>Bohnen (eingemacht)</t>
    </r>
  </si>
  <si>
    <r>
      <t xml:space="preserve">lidl JUNK SoBlu </t>
    </r>
    <r>
      <rPr>
        <b/>
        <sz val="10"/>
        <color indexed="10"/>
        <rFont val="Arial"/>
        <family val="2"/>
      </rPr>
      <t>GEHÄRTET</t>
    </r>
  </si>
  <si>
    <r>
      <t>SELBSTGESCHNITTEN</t>
    </r>
    <r>
      <rPr>
        <sz val="10"/>
        <rFont val="Arial"/>
        <family val="0"/>
      </rPr>
      <t xml:space="preserve"> aus ho.zzU Dinkelloab</t>
    </r>
  </si>
  <si>
    <t>dry</t>
  </si>
  <si>
    <t>"600 grammes"</t>
  </si>
  <si>
    <r>
      <t xml:space="preserve">** ho  </t>
    </r>
    <r>
      <rPr>
        <sz val="10"/>
        <color indexed="14"/>
        <rFont val="Arial"/>
        <family val="2"/>
      </rPr>
      <t>ZZU  Bauernlaib Mühlviertel</t>
    </r>
    <r>
      <rPr>
        <sz val="10"/>
        <color indexed="8"/>
        <rFont val="Arial"/>
        <family val="2"/>
      </rPr>
      <t xml:space="preserve"> Vortag</t>
    </r>
  </si>
  <si>
    <r>
      <t xml:space="preserve">lidl </t>
    </r>
    <r>
      <rPr>
        <b/>
        <sz val="10"/>
        <color indexed="17"/>
        <rFont val="Arial"/>
        <family val="2"/>
      </rPr>
      <t>Erntepracht Hausbrot ganz</t>
    </r>
  </si>
  <si>
    <t>#T SojVita DIJONSENF kbA</t>
  </si>
  <si>
    <t>AMAZON-Bonduelle</t>
  </si>
  <si>
    <r>
      <t xml:space="preserve">m.asia  H&amp;S </t>
    </r>
    <r>
      <rPr>
        <b/>
        <sz val="10"/>
        <color indexed="17"/>
        <rFont val="Arial"/>
        <family val="2"/>
      </rPr>
      <t>ValuePack</t>
    </r>
    <r>
      <rPr>
        <b/>
        <sz val="10"/>
        <color indexed="12"/>
        <rFont val="Arial"/>
        <family val="2"/>
      </rPr>
      <t xml:space="preserve"> fried Onions  (Zw,Öl,Mehl,Salz) NL</t>
    </r>
  </si>
  <si>
    <t>#dm  Maxi..</t>
  </si>
  <si>
    <r>
      <t xml:space="preserve">***  ho  ZZU  " </t>
    </r>
    <r>
      <rPr>
        <b/>
        <sz val="10"/>
        <color indexed="10"/>
        <rFont val="Arial"/>
        <family val="2"/>
      </rPr>
      <t>Gemüseraritäten"</t>
    </r>
    <r>
      <rPr>
        <b/>
        <sz val="10"/>
        <color indexed="8"/>
        <rFont val="Arial"/>
        <family val="2"/>
      </rPr>
      <t xml:space="preserve">  Ö</t>
    </r>
  </si>
  <si>
    <t>E2  75W</t>
  </si>
  <si>
    <t>sc2</t>
  </si>
  <si>
    <t>sc1  Tesla E27 40/60W</t>
  </si>
  <si>
    <t>spar  Hokkaido/Butternut  Ö</t>
  </si>
  <si>
    <t>BB  bio-verde  BÄRLAUCH (54%)/SoBluÖl/Salz</t>
  </si>
  <si>
    <r>
      <t xml:space="preserve">V-BD  </t>
    </r>
    <r>
      <rPr>
        <b/>
        <i/>
        <sz val="11"/>
        <rFont val="Arial"/>
        <family val="2"/>
      </rPr>
      <t>demeter</t>
    </r>
    <r>
      <rPr>
        <b/>
        <sz val="10"/>
        <rFont val="Arial"/>
        <family val="2"/>
      </rPr>
      <t xml:space="preserve">  </t>
    </r>
  </si>
  <si>
    <t>2003-12</t>
  </si>
  <si>
    <t>E/Pkg.</t>
  </si>
  <si>
    <t>-20%</t>
  </si>
  <si>
    <t>-25%</t>
  </si>
  <si>
    <t>BB  Rapunzel Sultaninen bio</t>
  </si>
  <si>
    <t>PM  Schlossgold dose  Ö</t>
  </si>
  <si>
    <t>dm: TEURER</t>
  </si>
  <si>
    <t>ho  Hass ESP</t>
  </si>
  <si>
    <t>Lidl  ISR</t>
  </si>
  <si>
    <t>***  L Gelatelli Schoko</t>
  </si>
  <si>
    <t>UPTECH(shop)   MediaRange  8x blank Spindel</t>
  </si>
  <si>
    <t>#BB  dennree Junger BlattSpinat</t>
  </si>
  <si>
    <t>hofer  Spitz  AmericanSandwich  Ö</t>
  </si>
  <si>
    <t>***  Birlik  Ekonomik ?TÜRK</t>
  </si>
  <si>
    <t>ho Weißer Wecken</t>
  </si>
  <si>
    <t>ho LYTTOS Kalamata m.K.8</t>
  </si>
  <si>
    <t>*** BB  Morgenland  bio creamed Coconut 100% (k.A.) SRL</t>
  </si>
  <si>
    <t xml:space="preserve">B clever GEMÜSEMAIS  </t>
  </si>
  <si>
    <t>KP1  Reinex  6* 15mm*10m 1"Kern</t>
  </si>
  <si>
    <t>ESP</t>
  </si>
  <si>
    <t>$1M  30mm</t>
  </si>
  <si>
    <t>$1M  2x36</t>
  </si>
  <si>
    <t>m.asia  "Royal Orient"   (Pl.Sack)</t>
  </si>
  <si>
    <t>EG69 ??   (Pl.Sack)</t>
  </si>
  <si>
    <r>
      <t>BÜRO-zeugs:  klarsicht</t>
    </r>
    <r>
      <rPr>
        <b/>
        <sz val="12"/>
        <rFont val="Arial"/>
        <family val="2"/>
      </rPr>
      <t>KLEBEBAND ("tixo/tesa")</t>
    </r>
  </si>
  <si>
    <t>ZZZZZZZZZZZZZ</t>
  </si>
  <si>
    <t>2015-08</t>
  </si>
  <si>
    <t>Mo-Fr 8-20  Sa 8-18</t>
  </si>
  <si>
    <t>denns  Sonnentor ZITRONENGRAS</t>
  </si>
  <si>
    <t>denns  Sonnentor SÜSSHOLZ Granulat</t>
  </si>
  <si>
    <t>***  dm  Alnatura    Kichererbsen  350g Glas</t>
  </si>
  <si>
    <t>denns  viana  bonanza-HACKSTEAK  kbA</t>
  </si>
  <si>
    <t>NM,  K  PG-40</t>
  </si>
  <si>
    <t>**+  ho Semmeln Vortag selbstgeschnitten</t>
  </si>
  <si>
    <t>83%</t>
  </si>
  <si>
    <t>***  lidl Körndlbrot selbstgeschnitten</t>
  </si>
  <si>
    <t>2008-12</t>
  </si>
  <si>
    <t>T Vollkraft Kokoschips geröstet</t>
  </si>
  <si>
    <t>Bi clever</t>
  </si>
  <si>
    <t>m.asia  Grace pure creamed Coconut</t>
  </si>
  <si>
    <t>denns  mauracher  bio KLETZENBROT</t>
  </si>
  <si>
    <t>2003-11</t>
  </si>
  <si>
    <t>ml</t>
  </si>
  <si>
    <t>*** hofer Schoko-Gugelhupf</t>
  </si>
  <si>
    <t>TS</t>
  </si>
  <si>
    <t>***  hofer ZZU Kraftweckerl</t>
  </si>
  <si>
    <t>***   PM  Ö</t>
  </si>
  <si>
    <r>
      <t xml:space="preserve">***  #BB  Taifun  </t>
    </r>
    <r>
      <rPr>
        <sz val="10"/>
        <color indexed="8"/>
        <rFont val="Arial"/>
        <family val="2"/>
      </rPr>
      <t xml:space="preserve">  Pizza Bratfilets</t>
    </r>
  </si>
  <si>
    <t>Stk</t>
  </si>
  <si>
    <t>dm xxxx bio</t>
  </si>
  <si>
    <t>(700ml)</t>
  </si>
  <si>
    <t>Evro</t>
  </si>
  <si>
    <t>MÜSLI</t>
  </si>
  <si>
    <t xml:space="preserve"> A2  THAI</t>
  </si>
  <si>
    <t>ISRael</t>
  </si>
  <si>
    <t>2003-07</t>
  </si>
  <si>
    <t>LED</t>
  </si>
  <si>
    <t>Glühlampen</t>
  </si>
  <si>
    <t>SPAR-Sbudget Roggenvollkorn-Sesam</t>
  </si>
  <si>
    <t>SPAR-Sbudget Roggenvollkorn</t>
  </si>
  <si>
    <t>***  #B13  Taifun  bio  Pizza Bratfilets</t>
  </si>
  <si>
    <t>denns spielberger demeter</t>
  </si>
  <si>
    <t>BB Sonnentor FENCHEL  ganz</t>
  </si>
  <si>
    <t>ho  Satsumas</t>
  </si>
  <si>
    <t>/ kg</t>
  </si>
  <si>
    <t>EG5</t>
  </si>
  <si>
    <t>2003-04</t>
  </si>
  <si>
    <t>ho bioNatura RoggenVK</t>
  </si>
  <si>
    <t>ho bioNatura RoggenVK+Sonneblumen</t>
  </si>
  <si>
    <t xml:space="preserve">az Indigo bio KakaoNIBS </t>
  </si>
  <si>
    <t xml:space="preserve">dennns, Margaretenstr. 21 </t>
  </si>
  <si>
    <t>asia-1  peacock BOCKSHORNKLEEBLÄTTER (IND)</t>
  </si>
  <si>
    <t xml:space="preserve">BB basic  KokosRaspeln </t>
  </si>
  <si>
    <t>2018-05</t>
  </si>
  <si>
    <t>m.asia  H&amp;S crispy fried Onions   (75%Zw,Öl,Mehl,Salz) NL</t>
  </si>
  <si>
    <t>EG69  DuneBleue   AC80+PA15+EL5</t>
  </si>
  <si>
    <t>blau = selten|nie biologisches</t>
  </si>
  <si>
    <t>***  BB Arche Dijon  glas</t>
  </si>
  <si>
    <t>*    BB byodo plastikfl.</t>
  </si>
  <si>
    <t>B13  bioVerde Calabrese in Essig</t>
  </si>
  <si>
    <t>lidl Rapsöl kaltgepresst VitaDor</t>
  </si>
  <si>
    <t xml:space="preserve">AZ-BioJoy </t>
  </si>
  <si>
    <t>az/KIKKOMAN</t>
  </si>
  <si>
    <t>2022-02</t>
  </si>
  <si>
    <t>lidl blau  Ö</t>
  </si>
  <si>
    <t>ho NakturAktiv bio</t>
  </si>
  <si>
    <t>lidl Crawfield bio</t>
  </si>
  <si>
    <t>lidl gelb  Ö</t>
  </si>
  <si>
    <r>
      <t xml:space="preserve">IKEA ""sparsam"" </t>
    </r>
    <r>
      <rPr>
        <sz val="10"/>
        <color indexed="14"/>
        <rFont val="Arial"/>
        <family val="2"/>
      </rPr>
      <t>diverse E27 "10000h"</t>
    </r>
  </si>
  <si>
    <r>
      <t xml:space="preserve">hofer NaturPur </t>
    </r>
    <r>
      <rPr>
        <b/>
        <sz val="10"/>
        <color indexed="55"/>
        <rFont val="Arial"/>
        <family val="2"/>
      </rPr>
      <t>bio Weizengebäck</t>
    </r>
    <r>
      <rPr>
        <sz val="10"/>
        <color indexed="55"/>
        <rFont val="Arial"/>
        <family val="2"/>
      </rPr>
      <t xml:space="preserve"> </t>
    </r>
    <r>
      <rPr>
        <sz val="8"/>
        <color indexed="55"/>
        <rFont val="Arial"/>
        <family val="2"/>
      </rPr>
      <t xml:space="preserve"> (H, zum FertigBacken)</t>
    </r>
  </si>
  <si>
    <t>ho mini  Ö</t>
  </si>
  <si>
    <t>ho Ö</t>
  </si>
  <si>
    <t>BB Oekoland  Schmittlauch, Dill  tiefgefroren</t>
  </si>
  <si>
    <t>T sonnentor LIEBSTÖCKL</t>
  </si>
  <si>
    <t>***  spar  "RiesenMango"  ?BRA</t>
  </si>
  <si>
    <t>***  lidl  WASA  Sesam(9%)</t>
  </si>
  <si>
    <t>***  ho  WASA  Sesam(9%)</t>
  </si>
  <si>
    <t>***  ho  NaturAktiv  Sesam(9%)</t>
  </si>
  <si>
    <t>**  ho  NaturAktiv  RoggenVK</t>
  </si>
  <si>
    <t>KNÄCKEBROT</t>
  </si>
  <si>
    <t>billa clever  Roggenvollkorn+Sesam</t>
  </si>
  <si>
    <r>
      <t>**  ho  natureAktiv bio Mais-Reis</t>
    </r>
    <r>
      <rPr>
        <sz val="10"/>
        <rFont val="Arial"/>
        <family val="2"/>
      </rPr>
      <t xml:space="preserve"> </t>
    </r>
    <r>
      <rPr>
        <sz val="10"/>
        <color indexed="14"/>
        <rFont val="Arial"/>
        <family val="2"/>
      </rPr>
      <t>Knusperscheiben</t>
    </r>
  </si>
  <si>
    <t>Sa -18</t>
  </si>
  <si>
    <t>amazon\AlnnaturA SojaWürfel grob  kbA</t>
  </si>
  <si>
    <t>2023-01</t>
  </si>
  <si>
    <t>hofer Latino BIO fairtrade</t>
  </si>
  <si>
    <t xml:space="preserve"> billiger geworden ?!!!</t>
  </si>
  <si>
    <t>2010-11</t>
  </si>
  <si>
    <r>
      <t xml:space="preserve">ÖÖLLÖLÖL   </t>
    </r>
    <r>
      <rPr>
        <b/>
        <sz val="12"/>
        <rFont val="Arial"/>
        <family val="2"/>
      </rPr>
      <t>SONNENBLUMENÖL</t>
    </r>
  </si>
  <si>
    <t xml:space="preserve">hofer 92BW+8AC WinterSocken  </t>
  </si>
  <si>
    <t>T N&amp;R Goldpaprika edelsüß</t>
  </si>
  <si>
    <r>
      <t xml:space="preserve">  LLINSEN</t>
    </r>
    <r>
      <rPr>
        <b/>
        <sz val="12"/>
        <rFont val="Arial"/>
        <family val="2"/>
      </rPr>
      <t xml:space="preserve">     LINSEN (roh)</t>
    </r>
  </si>
  <si>
    <t>ACETON</t>
  </si>
  <si>
    <t>2021-12</t>
  </si>
  <si>
    <t>Az/mylee nail 1ßß% Ac</t>
  </si>
  <si>
    <t>hofer Grandessa Schokolade (520g)</t>
  </si>
  <si>
    <t>billa AlnaturA  bio</t>
  </si>
  <si>
    <t>#BB FaiTrade   EQU</t>
  </si>
  <si>
    <t xml:space="preserve">BB  Ö </t>
  </si>
  <si>
    <t xml:space="preserve">BB Rapunzel  Kokoschips </t>
  </si>
  <si>
    <t xml:space="preserve">BB Rapunzel  KokosRaspeln </t>
  </si>
  <si>
    <t>(-) J viana</t>
  </si>
  <si>
    <t>*** hofer  Sonnenblumenbrot</t>
  </si>
  <si>
    <t>ho   Clementinen Esp</t>
  </si>
  <si>
    <r>
      <t>llll</t>
    </r>
    <r>
      <rPr>
        <b/>
        <sz val="12"/>
        <color indexed="18"/>
        <rFont val="Arial"/>
        <family val="2"/>
      </rPr>
      <t xml:space="preserve">LED-LAMPEN E14/E27  </t>
    </r>
  </si>
  <si>
    <t>EG1    4W E14</t>
  </si>
  <si>
    <t>EG1 "no flats!"  28"</t>
  </si>
  <si>
    <t xml:space="preserve">  E  infach</t>
  </si>
  <si>
    <t>denns dennree kbA</t>
  </si>
  <si>
    <t>#d  dennree SoBlu nativ kalt D</t>
  </si>
  <si>
    <t>#denn  dennree  D</t>
  </si>
  <si>
    <t xml:space="preserve">#denns dennree  BlattSpinat </t>
  </si>
  <si>
    <t xml:space="preserve">#denns dennree junger BlattSpinat </t>
  </si>
  <si>
    <t xml:space="preserve">denns dennree junger BlattSpinat </t>
  </si>
  <si>
    <r>
      <t xml:space="preserve">##T  Sonnentor? </t>
    </r>
    <r>
      <rPr>
        <b/>
        <i/>
        <sz val="12"/>
        <color indexed="16"/>
        <rFont val="Arial"/>
        <family val="2"/>
      </rPr>
      <t>demeter</t>
    </r>
    <r>
      <rPr>
        <b/>
        <sz val="12"/>
        <color indexed="16"/>
        <rFont val="Arial"/>
        <family val="2"/>
      </rPr>
      <t xml:space="preserve"> edelsüß  ESP</t>
    </r>
  </si>
  <si>
    <t xml:space="preserve">BB ecopan KürbiskernBrötchen (4Stk) (H, zum FertigBacken) </t>
  </si>
  <si>
    <t>merkur  Zanae  gefüllte Weinblätter   400ml-Dose</t>
  </si>
  <si>
    <t>**  B  Zanae  gefüllte Weinblätter   400ml-Dose</t>
  </si>
  <si>
    <t>--</t>
  </si>
  <si>
    <t>lidl (Tivolig.)</t>
  </si>
  <si>
    <t xml:space="preserve">BB  Sinfo bio  3.4% </t>
  </si>
  <si>
    <r>
      <t xml:space="preserve">**  BB  Soto </t>
    </r>
    <r>
      <rPr>
        <sz val="10"/>
        <color indexed="14"/>
        <rFont val="Arial"/>
        <family val="2"/>
      </rPr>
      <t>FRÜHLINGSROLLEN</t>
    </r>
    <r>
      <rPr>
        <sz val="10"/>
        <rFont val="Arial"/>
        <family val="2"/>
      </rPr>
      <t xml:space="preserve"> (Thai)  </t>
    </r>
  </si>
  <si>
    <t>ZAHNSEIDE</t>
  </si>
  <si>
    <t>dm, OralB, 50m</t>
  </si>
  <si>
    <t>bipa JaN Sultaninen</t>
  </si>
  <si>
    <t>2007-03</t>
  </si>
  <si>
    <t xml:space="preserve"> ***T neuform PAMUK Feigen sonnengetr.  bio</t>
  </si>
  <si>
    <t>T sonnentor OREGANO</t>
  </si>
  <si>
    <r>
      <t xml:space="preserve">T -- DULCE, </t>
    </r>
    <r>
      <rPr>
        <b/>
        <sz val="10"/>
        <color indexed="14"/>
        <rFont val="Arial"/>
        <family val="2"/>
      </rPr>
      <t>Extrakt,  in Wasser, mit Glycerin,</t>
    </r>
    <r>
      <rPr>
        <b/>
        <sz val="10"/>
        <color indexed="12"/>
        <rFont val="Arial"/>
        <family val="2"/>
      </rPr>
      <t xml:space="preserve"> G&amp;L</t>
    </r>
  </si>
  <si>
    <r>
      <t>bioSTEVIA-FlüssigExtrakt</t>
    </r>
    <r>
      <rPr>
        <b/>
        <sz val="10"/>
        <color indexed="12"/>
        <rFont val="Arial"/>
        <family val="2"/>
      </rPr>
      <t xml:space="preserve">,  in Wasser, mit </t>
    </r>
    <r>
      <rPr>
        <b/>
        <sz val="10"/>
        <color indexed="14"/>
        <rFont val="Arial"/>
        <family val="2"/>
      </rPr>
      <t>Glycerin</t>
    </r>
  </si>
  <si>
    <t>Bi BioK  TomateBasilikum</t>
  </si>
  <si>
    <t>**  merkur Oberpfälzer Pilzfäßchen (Glas)  D</t>
  </si>
  <si>
    <t>Penny Delikatessa  Champignons   400g Dose ?Ö</t>
  </si>
  <si>
    <t>hofer  Mango  BRA</t>
  </si>
  <si>
    <t>*  BB Spaghettisauce  Piccante al Basilico</t>
  </si>
  <si>
    <t>301-304</t>
  </si>
  <si>
    <t>spar  Ö</t>
  </si>
  <si>
    <t>#hofer zzU  Venezia(=speckig) Ö,Weinviertel</t>
  </si>
  <si>
    <t>hofer GartenKrome  400g Dose</t>
  </si>
  <si>
    <t>hofer GartenKrome  410g Dose</t>
  </si>
  <si>
    <t>***  hofer Choceur noir 75%</t>
  </si>
  <si>
    <t>##T  VollKraft</t>
  </si>
  <si>
    <t>B13  viana  ChikinFilets kbA XXXXX</t>
  </si>
  <si>
    <t>***  BB  Svadesha Gemüsetofu</t>
  </si>
  <si>
    <t>2005: &lt; 4 Ev/kg !!</t>
  </si>
  <si>
    <t>ET Koska hell TÜRK</t>
  </si>
  <si>
    <t>'Echt Günstig'  V., Siebenbrunneng.</t>
  </si>
  <si>
    <t>pagro   TIXO  Lady</t>
  </si>
  <si>
    <t>BB  Rapunzel (22%) kbA Tube  It</t>
  </si>
  <si>
    <t>2003-05</t>
  </si>
  <si>
    <t>LIDL10  (NUR *10*)  maxell  cakebox+</t>
  </si>
  <si>
    <t>L[idl]</t>
  </si>
  <si>
    <t>L[idl]10</t>
  </si>
  <si>
    <t>Lidl, X., Gudrunstr. 111</t>
  </si>
  <si>
    <r>
      <t xml:space="preserve">##T  sonenntor </t>
    </r>
    <r>
      <rPr>
        <b/>
        <i/>
        <sz val="13"/>
        <rFont val="Arial"/>
        <family val="2"/>
      </rPr>
      <t>demeter</t>
    </r>
    <r>
      <rPr>
        <b/>
        <sz val="12"/>
        <rFont val="Arial"/>
        <family val="2"/>
      </rPr>
      <t xml:space="preserve"> LIEBSTÖCKLÖ</t>
    </r>
  </si>
  <si>
    <t>BB Nestelberger grob|fein D</t>
  </si>
  <si>
    <t>dm Naturata oeko</t>
  </si>
  <si>
    <t>#hofer Gartenkrone  Champignons   400g Dose  PL</t>
  </si>
  <si>
    <t>***  m.asia HEM/Tulasi *  Sun</t>
  </si>
  <si>
    <t>Mo-Do 8-18:30  Fr 8-19:00 Sa 8-15 (??)</t>
  </si>
  <si>
    <t>T BioVita für 1kg Mehl</t>
  </si>
  <si>
    <t>L  B…</t>
  </si>
  <si>
    <t>2018-04</t>
  </si>
  <si>
    <t>BB  SojVita  geräuchert</t>
  </si>
  <si>
    <t>+9c/Fl</t>
  </si>
  <si>
    <t>****   ##T N&amp;R "2 Minuten"  Polenta  kbA</t>
  </si>
  <si>
    <t>forget  it</t>
  </si>
  <si>
    <t>BB Taifun PUSZTA/TOFU-WIENER</t>
  </si>
  <si>
    <t>kcal/g</t>
  </si>
  <si>
    <r>
      <t xml:space="preserve">KiEM KEM garbanzomehl   </t>
    </r>
    <r>
      <rPr>
        <b/>
        <sz val="12"/>
        <rFont val="Arial"/>
        <family val="2"/>
      </rPr>
      <t>KICHERERBSENMEHL</t>
    </r>
  </si>
  <si>
    <t>BB BioVegan Speisestärke</t>
  </si>
  <si>
    <t>AMAZON-JedenTag geschnitten 290g Dose</t>
  </si>
  <si>
    <t>AMAZON-Diamond  B.shoots SCHEIBEN (227g dose)(THAI)</t>
  </si>
  <si>
    <t>AMAZON-RoyalOrient  B.shoots SLICES (567g dose)(THAI)</t>
  </si>
  <si>
    <t>AMAZON-RoyalOrient  B.shoots STRIPS (567g dose)(THAI)</t>
  </si>
  <si>
    <t>AMAZON-JedenTag  "Sonnenmais"  425g Dose</t>
  </si>
  <si>
    <t>AMAZON-BioGusti  12*400g Dose</t>
  </si>
  <si>
    <t>AMAZON-Alnatura Bio Basmati</t>
  </si>
  <si>
    <t>***  hofer ZZU (VK)Dinkelnbrot )brot"  Ö</t>
  </si>
  <si>
    <t>***  T -SojVita Chili-Tofu gebacken</t>
  </si>
  <si>
    <r>
      <t xml:space="preserve">  KOKOSMILCH /</t>
    </r>
    <r>
      <rPr>
        <b/>
        <sz val="12"/>
        <color indexed="55"/>
        <rFont val="Arial"/>
        <family val="2"/>
      </rPr>
      <t xml:space="preserve"> creamed COCONUT</t>
    </r>
  </si>
  <si>
    <t>B13 Sonnentor Orangenenschale (gemahlen) kbA</t>
  </si>
  <si>
    <r>
      <t xml:space="preserve">B JaN </t>
    </r>
    <r>
      <rPr>
        <b/>
        <sz val="10"/>
        <color indexed="8"/>
        <rFont val="Arial"/>
        <family val="2"/>
      </rPr>
      <t>A/B(50+50)-SAFT</t>
    </r>
    <r>
      <rPr>
        <sz val="10"/>
        <color indexed="8"/>
        <rFont val="Arial"/>
        <family val="2"/>
      </rPr>
      <t xml:space="preserve"> kbA naturtrüber Direktsaft TetraPack Ö</t>
    </r>
  </si>
  <si>
    <t xml:space="preserve">KLEBESTIFTE </t>
  </si>
  <si>
    <t>(680g)</t>
  </si>
  <si>
    <t>sc1    testronic E27 25W/40W/../100W</t>
  </si>
  <si>
    <t>sc2     E27 25W</t>
  </si>
  <si>
    <t>%</t>
  </si>
  <si>
    <r>
      <t xml:space="preserve">BB  Taifun  </t>
    </r>
    <r>
      <rPr>
        <b/>
        <i/>
        <sz val="11"/>
        <color indexed="22"/>
        <rFont val="Arial"/>
        <family val="2"/>
      </rPr>
      <t>demeter</t>
    </r>
    <r>
      <rPr>
        <b/>
        <sz val="10"/>
        <color indexed="22"/>
        <rFont val="Arial"/>
        <family val="2"/>
      </rPr>
      <t xml:space="preserve"> TOFU  Basilikum</t>
    </r>
  </si>
  <si>
    <t>H</t>
  </si>
  <si>
    <t>T</t>
  </si>
  <si>
    <t>E</t>
  </si>
  <si>
    <t xml:space="preserve">BB  basic  </t>
  </si>
  <si>
    <t>T BioVita ZitronenschalenAroma (Pulver) kbA</t>
  </si>
  <si>
    <t>bioshop am Naschmarkt</t>
  </si>
  <si>
    <r>
      <t xml:space="preserve">denns  Spielberger </t>
    </r>
    <r>
      <rPr>
        <b/>
        <i/>
        <sz val="10"/>
        <color indexed="8"/>
        <rFont val="Arial"/>
        <family val="2"/>
      </rPr>
      <t>demeter</t>
    </r>
    <r>
      <rPr>
        <b/>
        <sz val="10"/>
        <color indexed="8"/>
        <rFont val="Arial"/>
        <family val="2"/>
      </rPr>
      <t xml:space="preserve"> natur (braun)  It</t>
    </r>
  </si>
  <si>
    <t>2019-09</t>
  </si>
  <si>
    <r>
      <t xml:space="preserve">*** B13  GildoR  ERDBEERSORBET  </t>
    </r>
    <r>
      <rPr>
        <b/>
        <i/>
        <sz val="11"/>
        <color indexed="8"/>
        <rFont val="Arial"/>
        <family val="2"/>
      </rPr>
      <t>demeter</t>
    </r>
    <r>
      <rPr>
        <sz val="10"/>
        <color indexed="8"/>
        <rFont val="Arial"/>
        <family val="2"/>
      </rPr>
      <t xml:space="preserve"> vegan(100g=125ml)</t>
    </r>
  </si>
  <si>
    <t>BB Sonnentor Dillspitzen kbA  Ö</t>
  </si>
  <si>
    <t xml:space="preserve">Schlecker  WOLL-Socken </t>
  </si>
  <si>
    <r>
      <t xml:space="preserve">rrrRST rrrrRSRSrstrsRSTRST  zt  </t>
    </r>
    <r>
      <rPr>
        <b/>
        <sz val="14"/>
        <color indexed="9"/>
        <rFont val="Arial"/>
        <family val="2"/>
      </rPr>
      <t>RSTRST</t>
    </r>
    <r>
      <rPr>
        <b/>
        <sz val="14"/>
        <color indexed="18"/>
        <rFont val="Arial"/>
        <family val="2"/>
      </rPr>
      <t xml:space="preserve"> RÄUCHERSTÄBCHEN</t>
    </r>
  </si>
  <si>
    <t>B13  Neumarkter Lammsbräu  Weisse Fl.</t>
  </si>
  <si>
    <t>Ev/g_C</t>
  </si>
  <si>
    <t>bioTee</t>
  </si>
  <si>
    <t>bioGuarana</t>
  </si>
  <si>
    <t>bioKaffee</t>
  </si>
  <si>
    <r>
      <t xml:space="preserve">*?-  (NUR manche) </t>
    </r>
    <r>
      <rPr>
        <b/>
        <sz val="10"/>
        <color indexed="8"/>
        <rFont val="Arial"/>
        <family val="2"/>
      </rPr>
      <t xml:space="preserve">PM   Natura 10x180 </t>
    </r>
    <r>
      <rPr>
        <sz val="10"/>
        <color indexed="8"/>
        <rFont val="Arial"/>
        <family val="2"/>
      </rPr>
      <t>(110g/Rolle)</t>
    </r>
  </si>
  <si>
    <r>
      <t xml:space="preserve">T  DeRit </t>
    </r>
    <r>
      <rPr>
        <b/>
        <sz val="10"/>
        <color indexed="16"/>
        <rFont val="Arial"/>
        <family val="2"/>
      </rPr>
      <t>demeter</t>
    </r>
    <r>
      <rPr>
        <sz val="10"/>
        <color indexed="16"/>
        <rFont val="Arial"/>
        <family val="2"/>
      </rPr>
      <t xml:space="preserve">  Kichererbsen   350g Glas</t>
    </r>
  </si>
  <si>
    <r>
      <t xml:space="preserve">d  Sonnentor </t>
    </r>
    <r>
      <rPr>
        <i/>
        <sz val="12"/>
        <color indexed="10"/>
        <rFont val="Arial"/>
        <family val="2"/>
      </rPr>
      <t>demeter</t>
    </r>
    <r>
      <rPr>
        <sz val="12"/>
        <color indexed="10"/>
        <rFont val="Arial"/>
        <family val="2"/>
      </rPr>
      <t xml:space="preserve"> edelsüß  ESP</t>
    </r>
  </si>
  <si>
    <t xml:space="preserve">   ho Wassermelone ?</t>
  </si>
  <si>
    <t>ITalien</t>
  </si>
  <si>
    <t>MAM</t>
  </si>
  <si>
    <t>MittelAMerika</t>
  </si>
  <si>
    <t>ho  Orangen GR</t>
  </si>
  <si>
    <t>*** hofer Marmorkuchen</t>
  </si>
  <si>
    <t>1 TL (Glas Kaffee)</t>
  </si>
  <si>
    <t>1TL (Kanne Tee)</t>
  </si>
  <si>
    <r>
      <t xml:space="preserve">sueßksüßk  </t>
    </r>
    <r>
      <rPr>
        <b/>
        <sz val="12"/>
        <rFont val="Arial"/>
        <family val="2"/>
      </rPr>
      <t>SUESSKARTOFFELN ROT (BATATA)</t>
    </r>
  </si>
  <si>
    <t>lidl  ZUCKER</t>
  </si>
  <si>
    <t>PHILippinen</t>
  </si>
  <si>
    <t>2019-04</t>
  </si>
  <si>
    <t>Stecknadeln</t>
  </si>
  <si>
    <t>EG69  30mm</t>
  </si>
  <si>
    <t>/100</t>
  </si>
  <si>
    <t>$1M</t>
  </si>
  <si>
    <t>refill24 BCI-24 YMC 3*50ml</t>
  </si>
  <si>
    <t>ho Carloni  geschälte Tomaten It</t>
  </si>
  <si>
    <t>m.asia  MoonDish LAING taro-leaves/cococream (PHIL)</t>
  </si>
  <si>
    <t>2003-08</t>
  </si>
  <si>
    <t>aktion!</t>
  </si>
  <si>
    <t>UPTECH    DVD-R 16x Blank</t>
  </si>
  <si>
    <t xml:space="preserve">   L Wassermelone klein, kernarm ?</t>
  </si>
  <si>
    <t>L GRÜN "Piel de Sapo"  ?Esp</t>
  </si>
  <si>
    <t>BHK</t>
  </si>
  <si>
    <t>SPAR</t>
  </si>
  <si>
    <t xml:space="preserve">z.B. in der Arcade, XII., MeidlingerHauptstr. </t>
  </si>
  <si>
    <t>***  T -SojVita Kürbiskern-Tofu</t>
  </si>
  <si>
    <t>*** B13  Morgenland  bio creamed Coconut 100% (k.A.) SRL</t>
  </si>
  <si>
    <t>B13   Hermes(=mehlig)|Ditta  Ö</t>
  </si>
  <si>
    <t>Spar NaturPur 50g</t>
  </si>
  <si>
    <t>**  #B13  viana  FRÜHLINGSROLLEN kbA</t>
  </si>
  <si>
    <t>T vollkraft  vanille  kbA</t>
  </si>
  <si>
    <t>T  Lima Hatcho</t>
  </si>
  <si>
    <t>SUGO</t>
  </si>
  <si>
    <t xml:space="preserve">"1-Ev-plus-Shop" </t>
  </si>
  <si>
    <t>$1p</t>
  </si>
  <si>
    <t>$1 Meidl.hs. 75</t>
  </si>
  <si>
    <t>$1 Meidl.Platz</t>
  </si>
  <si>
    <r>
      <t>$1 BestChoice 10*10mm*</t>
    </r>
    <r>
      <rPr>
        <b/>
        <sz val="10"/>
        <color indexed="10"/>
        <rFont val="Arial"/>
        <family val="2"/>
      </rPr>
      <t>18</t>
    </r>
    <r>
      <rPr>
        <b/>
        <sz val="10"/>
        <color indexed="8"/>
        <rFont val="Arial"/>
        <family val="2"/>
      </rPr>
      <t>mm</t>
    </r>
  </si>
  <si>
    <r>
      <t>KP1  Reinex  6* 15mm*</t>
    </r>
    <r>
      <rPr>
        <b/>
        <sz val="10"/>
        <color indexed="10"/>
        <rFont val="Arial"/>
        <family val="2"/>
      </rPr>
      <t>10</t>
    </r>
    <r>
      <rPr>
        <b/>
        <sz val="10"/>
        <color indexed="8"/>
        <rFont val="Arial"/>
        <family val="2"/>
      </rPr>
      <t>m 1"Kern</t>
    </r>
  </si>
  <si>
    <t>V-RB</t>
  </si>
  <si>
    <t>Abtropfg.</t>
  </si>
  <si>
    <t xml:space="preserve">BB  basic </t>
  </si>
  <si>
    <r>
      <t xml:space="preserve">MMAIS  </t>
    </r>
    <r>
      <rPr>
        <b/>
        <sz val="12"/>
        <color indexed="9"/>
        <rFont val="Arial"/>
        <family val="2"/>
      </rPr>
      <t xml:space="preserve"> </t>
    </r>
    <r>
      <rPr>
        <b/>
        <sz val="12"/>
        <rFont val="Arial"/>
        <family val="2"/>
      </rPr>
      <t>ZUCKER/GEMÜSEMAIS -eingemacht</t>
    </r>
  </si>
  <si>
    <t>Fett/</t>
  </si>
  <si>
    <t>pro 100 g</t>
  </si>
  <si>
    <t>gesamt</t>
  </si>
  <si>
    <t>in Summe</t>
  </si>
  <si>
    <t>2003-06</t>
  </si>
  <si>
    <t>2005-07</t>
  </si>
  <si>
    <t>***  hofer  Pilztopf (500ml Glas)  CH</t>
  </si>
  <si>
    <r>
      <t xml:space="preserve">L </t>
    </r>
    <r>
      <rPr>
        <sz val="10"/>
        <color indexed="46"/>
        <rFont val="Arial"/>
        <family val="2"/>
      </rPr>
      <t>Wiesentaler</t>
    </r>
    <r>
      <rPr>
        <sz val="10"/>
        <color indexed="12"/>
        <rFont val="Arial"/>
        <family val="2"/>
      </rPr>
      <t xml:space="preserve"> Sauerkraut</t>
    </r>
  </si>
  <si>
    <t>****  m.asia  Mysore Jasmine</t>
  </si>
  <si>
    <t xml:space="preserve">****  m.asia  777 Sandal  </t>
  </si>
  <si>
    <t>BB basic Minuten Polenta Ö</t>
  </si>
  <si>
    <t>BB Raab Nibs</t>
  </si>
  <si>
    <r>
      <t>KK</t>
    </r>
    <r>
      <rPr>
        <b/>
        <sz val="12"/>
        <rFont val="Arial"/>
        <family val="2"/>
      </rPr>
      <t>KAKAO gemahlen</t>
    </r>
  </si>
  <si>
    <t>notFound</t>
  </si>
  <si>
    <t xml:space="preserve">dm </t>
  </si>
  <si>
    <t>***  B JaN  6-Kräuter-M  tiefgefroren</t>
  </si>
  <si>
    <r>
      <t>edding</t>
    </r>
    <r>
      <rPr>
        <b/>
        <sz val="10"/>
        <color indexed="8"/>
        <rFont val="Arial"/>
        <family val="2"/>
      </rPr>
      <t xml:space="preserve"> (permanennt) Nachfülltusche</t>
    </r>
  </si>
  <si>
    <t>2015-12</t>
  </si>
  <si>
    <t>*** hofer Winterkuchen</t>
  </si>
  <si>
    <t>2021-01</t>
  </si>
  <si>
    <t xml:space="preserve">AMAZON-KoRo </t>
  </si>
  <si>
    <t>AMAZON-Alnatura 6*300g</t>
  </si>
  <si>
    <t xml:space="preserve">AMAZON-\SOBO  </t>
  </si>
  <si>
    <t>AMAZON-Alnatura</t>
  </si>
  <si>
    <t>AMAZON-Azafran  BIO</t>
  </si>
  <si>
    <t xml:space="preserve">AMAZON-HattonHill CUMIN organic </t>
  </si>
  <si>
    <t>AMAZON-Azafran BIO Kümmel ganz</t>
  </si>
  <si>
    <t>AMAZON-Achterhof BIO Kümmel ganz</t>
  </si>
  <si>
    <t>AMAZON-Fuchs Kümmel ganz</t>
  </si>
  <si>
    <t>AMAZON-Pritt  5x43</t>
  </si>
  <si>
    <t>AMAZON-D.rect "gebraucht"</t>
  </si>
  <si>
    <t>AMAZON-/Gawlo Ar,y/Jäger..Socken   BW70+28PE+2EL  60g</t>
  </si>
  <si>
    <t>AMAZON-BulgarianNuts</t>
  </si>
  <si>
    <t>hofer wellactive  Multivitamin</t>
  </si>
  <si>
    <t>***  m.asia HEM  Sun</t>
  </si>
  <si>
    <t>***  m.asia Tulosi Red Rose</t>
  </si>
  <si>
    <t>Billigst-Kaffee</t>
  </si>
  <si>
    <t>*  dm  AlnaturA  Früchtetee  NEU</t>
  </si>
  <si>
    <t>ho  panos  GR</t>
  </si>
  <si>
    <t>GR</t>
  </si>
  <si>
    <t>BB  lima strongTAMARI</t>
  </si>
  <si>
    <t>denns  delicias (grosse) in Essig</t>
  </si>
  <si>
    <t>Zsaft</t>
  </si>
  <si>
    <t>EW/</t>
  </si>
  <si>
    <t>2020-07</t>
  </si>
  <si>
    <t>Matha-Asia-Supermarkt, XII., Wilhelmstr. 43, http://www.matha-asia.com/</t>
  </si>
  <si>
    <t>B JaN Risotto ARBORIO   It</t>
  </si>
  <si>
    <t>d Eiertomaten Ö</t>
  </si>
  <si>
    <t>2015-07</t>
  </si>
  <si>
    <t>T Vollkraft kbA</t>
  </si>
  <si>
    <t>(-)  B  fair+EZA  HOM MALI weisser JasminReis THAI</t>
  </si>
  <si>
    <t>Kasoori Methi</t>
  </si>
  <si>
    <t>dm  Alnatura  oeko  330g Glas</t>
  </si>
  <si>
    <r>
      <t>eeee</t>
    </r>
    <r>
      <rPr>
        <b/>
        <sz val="12"/>
        <rFont val="Arial"/>
        <family val="2"/>
      </rPr>
      <t>ERDMANDELN</t>
    </r>
  </si>
  <si>
    <t xml:space="preserve">dm BIO </t>
  </si>
  <si>
    <r>
      <t xml:space="preserve">  BB </t>
    </r>
    <r>
      <rPr>
        <b/>
        <i/>
        <sz val="12"/>
        <color indexed="8"/>
        <rFont val="Arial"/>
        <family val="2"/>
      </rPr>
      <t>demeter</t>
    </r>
    <r>
      <rPr>
        <sz val="10"/>
        <color indexed="8"/>
        <rFont val="Arial"/>
        <family val="2"/>
      </rPr>
      <t xml:space="preserve"> DeRit Rote Bete  720ml Glas</t>
    </r>
  </si>
  <si>
    <t>T  viana  ChikinFilets kbA XXXXX</t>
  </si>
  <si>
    <r>
      <t>*-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BB Naturmühle "FeelGood" </t>
    </r>
    <r>
      <rPr>
        <sz val="10"/>
        <color indexed="14"/>
        <rFont val="Arial"/>
        <family val="2"/>
      </rPr>
      <t>Pizza</t>
    </r>
    <r>
      <rPr>
        <sz val="10"/>
        <color indexed="8"/>
        <rFont val="Arial"/>
        <family val="2"/>
      </rPr>
      <t xml:space="preserve"> A</t>
    </r>
  </si>
  <si>
    <t>***   BB  ?</t>
  </si>
  <si>
    <t>??</t>
  </si>
  <si>
    <t>Tahin</t>
  </si>
  <si>
    <r>
      <t>T,BB   FLUID, Extrakt, in Wasser mit</t>
    </r>
    <r>
      <rPr>
        <b/>
        <sz val="10"/>
        <color indexed="14"/>
        <rFont val="Arial"/>
        <family val="2"/>
      </rPr>
      <t xml:space="preserve"> </t>
    </r>
    <r>
      <rPr>
        <sz val="10"/>
        <color indexed="14"/>
        <rFont val="Arial"/>
        <family val="2"/>
      </rPr>
      <t>Glycerin und</t>
    </r>
    <r>
      <rPr>
        <b/>
        <sz val="10"/>
        <color indexed="14"/>
        <rFont val="Arial"/>
        <family val="2"/>
      </rPr>
      <t xml:space="preserve"> Kaliumsorbat</t>
    </r>
  </si>
  <si>
    <t>AMAZON- BIO  3.6%</t>
  </si>
  <si>
    <t>2018-12</t>
  </si>
  <si>
    <r>
      <t xml:space="preserve">##T </t>
    </r>
    <r>
      <rPr>
        <i/>
        <sz val="12"/>
        <color indexed="55"/>
        <rFont val="Arial"/>
        <family val="2"/>
      </rPr>
      <t>demeter</t>
    </r>
    <r>
      <rPr>
        <sz val="10"/>
        <color indexed="55"/>
        <rFont val="Arial"/>
        <family val="2"/>
      </rPr>
      <t xml:space="preserve"> Beutelsbacher 5%</t>
    </r>
  </si>
  <si>
    <t xml:space="preserve">  bbier   BIER  ALKOHOLFREI</t>
  </si>
  <si>
    <t>---</t>
  </si>
  <si>
    <t>T Vollkraft spanische MANDELN gesalzen  kbA</t>
  </si>
  <si>
    <t>KRENN</t>
  </si>
  <si>
    <r>
      <t>Bi</t>
    </r>
    <r>
      <rPr>
        <sz val="10"/>
        <color indexed="10"/>
        <rFont val="Arial"/>
        <family val="2"/>
      </rPr>
      <t xml:space="preserve">  Listerine cool mint 500ml</t>
    </r>
  </si>
  <si>
    <t>g | ml</t>
  </si>
  <si>
    <t>BB  basic Sultaninen bio</t>
  </si>
  <si>
    <t>T Sonnentor HIBISKUS</t>
  </si>
  <si>
    <t>AMAZON Kattus   schwarz entkernt 200 g Dose</t>
  </si>
  <si>
    <t>AMAZON Kattus   schwarz Scheiben entkernt 345 g Glas</t>
  </si>
  <si>
    <t>BB  grüne  Ö</t>
  </si>
  <si>
    <t>#T Taifun PUSZTA/TOFU-WIENER</t>
  </si>
  <si>
    <t>netto</t>
  </si>
  <si>
    <t>Türk-2</t>
  </si>
  <si>
    <t>hofer Grandessa Walnuss (510g)</t>
  </si>
  <si>
    <r>
      <t xml:space="preserve">lidl </t>
    </r>
    <r>
      <rPr>
        <sz val="10"/>
        <color indexed="8"/>
        <rFont val="Arial"/>
        <family val="2"/>
      </rPr>
      <t>"6=25,9=40,15=??23=112" W</t>
    </r>
  </si>
  <si>
    <t>BB Lebensb.   INGWER gemahlen kbA</t>
  </si>
  <si>
    <t>T Vollwert Sojaschnetzel kbA</t>
  </si>
  <si>
    <t>***  Birlik  Ekonomik  hell TÜRK</t>
  </si>
  <si>
    <t>***  Birlik  alwadi  hell TÜRK</t>
  </si>
  <si>
    <t>hofer  KarlsKrone    dose  A</t>
  </si>
  <si>
    <t>(nicht jeder filiale)  ZP  DIADENT 2x 50m</t>
  </si>
  <si>
    <r>
      <t xml:space="preserve">dm Alnatura  </t>
    </r>
    <r>
      <rPr>
        <i/>
        <sz val="11"/>
        <color indexed="55"/>
        <rFont val="Arial"/>
        <family val="2"/>
      </rPr>
      <t>demeter</t>
    </r>
    <r>
      <rPr>
        <sz val="10"/>
        <color indexed="55"/>
        <rFont val="Arial"/>
        <family val="2"/>
      </rPr>
      <t xml:space="preserve">  Polenta</t>
    </r>
  </si>
  <si>
    <t>Mo-Fr 8-19  Sa 8-18</t>
  </si>
  <si>
    <t>neu:  canon-ip2600</t>
  </si>
  <si>
    <t>alt:   canon-i250</t>
  </si>
  <si>
    <t>bis 27.3.</t>
  </si>
  <si>
    <t>FÖRDERNSWERT</t>
  </si>
  <si>
    <t>Nicht-EU</t>
  </si>
  <si>
    <t>ho GALA Ö</t>
  </si>
  <si>
    <t xml:space="preserve">denns  Roggen-VK </t>
  </si>
  <si>
    <t>2014-05</t>
  </si>
  <si>
    <t xml:space="preserve">#BB BackHof  </t>
  </si>
  <si>
    <t>bipa    2x50m</t>
  </si>
  <si>
    <t>PM SanFabio</t>
  </si>
  <si>
    <t>PM Aktion</t>
  </si>
  <si>
    <t>**   Bi  EgaVita  "Wurst" pikant</t>
  </si>
  <si>
    <t>(*) T PeterHiel</t>
  </si>
  <si>
    <t>ho: keine (?)</t>
  </si>
  <si>
    <t>**  ##T SojVita bio Natur</t>
  </si>
  <si>
    <t>Merkur Tiroler Zelten</t>
  </si>
  <si>
    <r>
      <t xml:space="preserve">MiXtur EU + NE  </t>
    </r>
    <r>
      <rPr>
        <b/>
        <sz val="12"/>
        <color indexed="17"/>
        <rFont val="Arial"/>
        <family val="2"/>
      </rPr>
      <t>-- also "alles zusammengeschüttet" (</t>
    </r>
    <r>
      <rPr>
        <b/>
        <sz val="10"/>
        <color indexed="17"/>
        <rFont val="Arial"/>
        <family val="2"/>
      </rPr>
      <t>um nicht zu sagen: der letzte dreck)</t>
    </r>
  </si>
  <si>
    <t>TUN</t>
  </si>
  <si>
    <t>pro 100 ml</t>
  </si>
  <si>
    <t>325-327</t>
  </si>
  <si>
    <t>schwarz ==  BIO</t>
  </si>
  <si>
    <t>"statt 1.69"</t>
  </si>
  <si>
    <t>J - Rapunzel</t>
  </si>
  <si>
    <t>##T Sonnentor  kkkKÜMMEL  ganz Ö</t>
  </si>
  <si>
    <r>
      <t xml:space="preserve">##T  Sonnentor </t>
    </r>
    <r>
      <rPr>
        <b/>
        <i/>
        <sz val="12"/>
        <color indexed="22"/>
        <rFont val="Arial"/>
        <family val="2"/>
      </rPr>
      <t>demeter</t>
    </r>
    <r>
      <rPr>
        <sz val="12"/>
        <color indexed="22"/>
        <rFont val="Arial"/>
        <family val="2"/>
      </rPr>
      <t xml:space="preserve"> SCHWARZKÜMMEL ganz  Ö</t>
    </r>
  </si>
  <si>
    <r>
      <t xml:space="preserve">T Sonnentor </t>
    </r>
    <r>
      <rPr>
        <b/>
        <i/>
        <sz val="12"/>
        <color indexed="22"/>
        <rFont val="Arial"/>
        <family val="2"/>
      </rPr>
      <t>demeter</t>
    </r>
    <r>
      <rPr>
        <sz val="12"/>
        <color indexed="22"/>
        <rFont val="Arial"/>
        <family val="2"/>
      </rPr>
      <t xml:space="preserve"> Grüner Pfeffer ganz IND</t>
    </r>
  </si>
  <si>
    <r>
      <t>SONNENTOR</t>
    </r>
    <r>
      <rPr>
        <sz val="12"/>
        <color indexed="8"/>
        <rFont val="Arial"/>
        <family val="2"/>
      </rPr>
      <t xml:space="preserve"> Kümmel ganz</t>
    </r>
  </si>
  <si>
    <t>hofer naturaktiv Latino Bio Fairtrade</t>
  </si>
  <si>
    <r>
      <t xml:space="preserve">BB Lebensbaum </t>
    </r>
    <r>
      <rPr>
        <i/>
        <sz val="12"/>
        <rFont val="Arial"/>
        <family val="2"/>
      </rPr>
      <t>demeter</t>
    </r>
    <r>
      <rPr>
        <sz val="12"/>
        <rFont val="Arial"/>
        <family val="2"/>
      </rPr>
      <t xml:space="preserve"> KORIANDER Samen ganz</t>
    </r>
  </si>
  <si>
    <r>
      <t>B</t>
    </r>
    <r>
      <rPr>
        <b/>
        <i/>
        <sz val="12"/>
        <rFont val="Arial"/>
        <family val="2"/>
      </rPr>
      <t>io(super)markt, 1</t>
    </r>
    <r>
      <rPr>
        <b/>
        <i/>
        <sz val="12"/>
        <color indexed="10"/>
        <rFont val="Arial"/>
        <family val="2"/>
      </rPr>
      <t>13</t>
    </r>
    <r>
      <rPr>
        <b/>
        <i/>
        <sz val="12"/>
        <rFont val="Arial"/>
        <family val="2"/>
      </rPr>
      <t>0, Fasangartenstr. 22  (4 km von mhs60)</t>
    </r>
  </si>
  <si>
    <t>#lidl Heimat Marchfelder Ö</t>
  </si>
  <si>
    <t>T Vollwert grob/fein</t>
  </si>
  <si>
    <t>T Vollkraft grob kbA</t>
  </si>
  <si>
    <t>#billa  Rapso  kbA  Ö</t>
  </si>
  <si>
    <r>
      <t>T</t>
    </r>
    <r>
      <rPr>
        <b/>
        <i/>
        <sz val="12"/>
        <rFont val="Arial"/>
        <family val="2"/>
      </rPr>
      <t>oner</t>
    </r>
    <r>
      <rPr>
        <b/>
        <i/>
        <sz val="12"/>
        <color indexed="10"/>
        <rFont val="Arial"/>
        <family val="2"/>
      </rPr>
      <t>S</t>
    </r>
    <r>
      <rPr>
        <b/>
        <i/>
        <sz val="12"/>
        <rFont val="Arial"/>
        <family val="2"/>
      </rPr>
      <t>hop.at  1050, Reinprechtsdorferstr. 4</t>
    </r>
  </si>
  <si>
    <t>dm Gerelli's Ägypten</t>
  </si>
  <si>
    <r>
      <t xml:space="preserve">kpkp  </t>
    </r>
    <r>
      <rPr>
        <b/>
        <sz val="14"/>
        <color indexed="18"/>
        <rFont val="Arial"/>
        <family val="2"/>
      </rPr>
      <t xml:space="preserve">KLOPAPIER </t>
    </r>
    <r>
      <rPr>
        <b/>
        <u val="single"/>
        <sz val="14"/>
        <color indexed="18"/>
        <rFont val="Arial"/>
        <family val="2"/>
      </rPr>
      <t>NUR</t>
    </r>
    <r>
      <rPr>
        <b/>
        <sz val="14"/>
        <color indexed="18"/>
        <rFont val="Arial"/>
        <family val="2"/>
      </rPr>
      <t xml:space="preserve"> </t>
    </r>
    <r>
      <rPr>
        <b/>
        <sz val="12"/>
        <color indexed="18"/>
        <rFont val="Arial"/>
        <family val="2"/>
      </rPr>
      <t>100% recycled &amp; "chlorfrei"</t>
    </r>
  </si>
  <si>
    <t>dm AlNatura</t>
  </si>
  <si>
    <t>Citrate, Tartrate</t>
  </si>
  <si>
    <t>Tonershop  BCI-24-BK compatible  HEISSE  9(!)ml</t>
  </si>
  <si>
    <t>J  bioVerde Calabrese in Essig</t>
  </si>
  <si>
    <t>2004-03</t>
  </si>
  <si>
    <t>Radhaus SINGER</t>
  </si>
  <si>
    <r>
      <t xml:space="preserve">eeesssig   </t>
    </r>
    <r>
      <rPr>
        <b/>
        <sz val="12"/>
        <rFont val="Arial"/>
        <family val="2"/>
      </rPr>
      <t>APFELESSIG 5%</t>
    </r>
  </si>
  <si>
    <t>B13  Davert kbA (CAN)</t>
  </si>
  <si>
    <t>Billa Pflaumen Ö</t>
  </si>
  <si>
    <t>BB  Sonnentor DILLSAMEN ganz aus A</t>
  </si>
  <si>
    <t>2009-07</t>
  </si>
  <si>
    <t>aus</t>
  </si>
  <si>
    <r>
      <t xml:space="preserve">dennns, Lindenstr. 13-15   </t>
    </r>
    <r>
      <rPr>
        <b/>
        <i/>
        <sz val="12"/>
        <color indexed="14"/>
        <rFont val="Arial"/>
        <family val="2"/>
      </rPr>
      <t>!ACHTUNG!</t>
    </r>
  </si>
  <si>
    <r>
      <t xml:space="preserve">Foto-Video.at IX., Alserbachstr. 25  -- </t>
    </r>
    <r>
      <rPr>
        <b/>
        <i/>
        <sz val="12"/>
        <color indexed="17"/>
        <rFont val="Arial"/>
        <family val="2"/>
      </rPr>
      <t>BestBieter ink</t>
    </r>
  </si>
  <si>
    <t>Mo-Fr 10-12+15-18   Sa 10-13</t>
  </si>
  <si>
    <t>Mo-Fr 9-13+14-18</t>
  </si>
  <si>
    <t>Lecithin</t>
  </si>
  <si>
    <t>NM,  YMC  CL-38</t>
  </si>
  <si>
    <t>BB  Davert  braune Teller~  T</t>
  </si>
  <si>
    <t>66% Trockenmasse</t>
  </si>
  <si>
    <t>66%</t>
  </si>
  <si>
    <t>denns Sobo</t>
  </si>
  <si>
    <t>denns SPIELBERGER demeter VK==Vollkorn</t>
  </si>
  <si>
    <t>denns SojVita DIJONSENF kbA</t>
  </si>
  <si>
    <t>Phosphorsäure</t>
  </si>
  <si>
    <t>2020-12</t>
  </si>
  <si>
    <t>AMAZON… Seetang geröstet  NORI</t>
  </si>
  <si>
    <t>AMAZON-Davert 4*500</t>
  </si>
  <si>
    <t xml:space="preserve"> - seerfett T  GranoVita Peperoni-pastete</t>
  </si>
  <si>
    <t>hofer Choceur noir Poire Venezela 55%</t>
  </si>
  <si>
    <t>EG69  Viva (Gummisohle)</t>
  </si>
  <si>
    <t>denns sonnentor PETERSILIE</t>
  </si>
  <si>
    <t>##T  Bromberger Kasten</t>
  </si>
  <si>
    <t>#denns sonnentor BÄRLAUCH geschnitten kbA Bosn.Hz.</t>
  </si>
  <si>
    <t>aus(?)</t>
  </si>
  <si>
    <t>2023-05</t>
  </si>
  <si>
    <r>
      <t>KEKEKKKEEE  CC</t>
    </r>
    <r>
      <rPr>
        <b/>
        <sz val="14"/>
        <color indexed="8"/>
        <rFont val="Arial"/>
        <family val="2"/>
      </rPr>
      <t xml:space="preserve">Ceci = </t>
    </r>
    <r>
      <rPr>
        <b/>
        <sz val="14"/>
        <color indexed="8"/>
        <rFont val="Arial"/>
        <family val="2"/>
      </rPr>
      <t>Garbanzos = Kichererbsen</t>
    </r>
  </si>
  <si>
    <t>bipa    BI sensitive</t>
  </si>
  <si>
    <t>2023-06</t>
  </si>
  <si>
    <t>InterSPAR-Pittinger</t>
  </si>
  <si>
    <t>BB  Illnutrimento Kidney 400g Dose</t>
  </si>
  <si>
    <t>2023-07</t>
  </si>
  <si>
    <t>Office2B Kores 50.8*70</t>
  </si>
  <si>
    <t>dm bio Sonnenmais 340gGlas</t>
  </si>
  <si>
    <t>2023-08</t>
  </si>
  <si>
    <t>AZ-Alnatura 330gDose</t>
  </si>
  <si>
    <t xml:space="preserve">ho/Penny/Lidl/Spar "dreifach" Tube </t>
  </si>
  <si>
    <t>Spar naturPur gewürfelt 400g Dose</t>
  </si>
  <si>
    <t>2023-09</t>
  </si>
  <si>
    <t>***    SparVital  400g Dose</t>
  </si>
  <si>
    <t xml:space="preserve">az natureDiet </t>
  </si>
  <si>
    <t>ho naturAktiv Kalamata o.K. bio</t>
  </si>
  <si>
    <t>ho LYTTOS grüne m.K. Milchsäure</t>
  </si>
  <si>
    <t>Az Rapunzel</t>
  </si>
  <si>
    <t>SONNENTOR   klare Bio-Gemüsesuppe</t>
  </si>
  <si>
    <t>Spar naturPur</t>
  </si>
  <si>
    <t>Spar naturPur weiße "Riesen"</t>
  </si>
  <si>
    <t>Spar naturPur OlivenMIX</t>
  </si>
  <si>
    <t>2023-10</t>
  </si>
  <si>
    <t>Spar ???</t>
  </si>
  <si>
    <t>dm Räuchertofu</t>
  </si>
  <si>
    <t>dm MandelNussTofu</t>
  </si>
  <si>
    <t>AMAZON-EatWhole 12*400g Dose</t>
  </si>
  <si>
    <t>CORNFLAKES</t>
  </si>
  <si>
    <t>dm   Bio 99.6%Mais+SojaLecithin</t>
  </si>
  <si>
    <t>BB denree geräuchert mit /Röstzwiebeln</t>
  </si>
  <si>
    <t>BB denree Basilikum</t>
  </si>
  <si>
    <t xml:space="preserve">#d  *** Yakso "Seitan in Ta-mari"  </t>
  </si>
  <si>
    <t>BB  *</t>
  </si>
  <si>
    <t>Spar naturPur Kalamata o.K. bio</t>
  </si>
  <si>
    <t>Az-eatWhole grüne Linsen bio grüne Linsen bio 12x400g</t>
  </si>
  <si>
    <t>Spar naturPur Berglinsen</t>
  </si>
  <si>
    <t>Az-BioAsia 4x250 ml</t>
  </si>
  <si>
    <t>2023-11</t>
  </si>
  <si>
    <t>Spar naturPur Kalamata m.K. bio</t>
  </si>
  <si>
    <t>Clorhexamid forte 300 ml, Apotheke</t>
  </si>
  <si>
    <t>#lidl OmasBestes Knödelbrot</t>
  </si>
  <si>
    <t>amazon-Planet Nature Bio Soja Schnetzel</t>
  </si>
  <si>
    <t>SPAR  Erdnüsse geröstet &amp; gesalzen</t>
  </si>
  <si>
    <t>Etsan Platik 4 kg</t>
  </si>
  <si>
    <r>
      <t>oooooliven</t>
    </r>
    <r>
      <rPr>
        <b/>
        <sz val="12"/>
        <rFont val="Arial"/>
        <family val="2"/>
      </rPr>
      <t xml:space="preserve">   schwarz/</t>
    </r>
    <r>
      <rPr>
        <b/>
        <sz val="12"/>
        <color indexed="57"/>
        <rFont val="Arial"/>
        <family val="2"/>
      </rPr>
      <t xml:space="preserve">grün </t>
    </r>
    <r>
      <rPr>
        <b/>
        <sz val="12"/>
        <rFont val="Arial"/>
        <family val="2"/>
      </rPr>
      <t xml:space="preserve">mixed OLIVEN   </t>
    </r>
  </si>
  <si>
    <t>PM echtBio  m.K.</t>
  </si>
  <si>
    <t>??AUS??</t>
  </si>
  <si>
    <t>Spar VollkornWeizenmehl</t>
  </si>
  <si>
    <t>2023-12</t>
  </si>
  <si>
    <t>Spar  Bonduelle 400g Dose</t>
  </si>
  <si>
    <t>az 3.Wahl geschn. 5x290g Dose</t>
  </si>
  <si>
    <t xml:space="preserve">Lidl freshona 3.Wahl geschnitten 400g Dose </t>
  </si>
  <si>
    <t>oliv</t>
  </si>
  <si>
    <r>
      <t>oooooliven</t>
    </r>
    <r>
      <rPr>
        <b/>
        <sz val="12"/>
        <rFont val="Arial"/>
        <family val="2"/>
      </rPr>
      <t xml:space="preserve">   grüne </t>
    </r>
    <r>
      <rPr>
        <b/>
        <sz val="12"/>
        <color indexed="9"/>
        <rFont val="Arial"/>
        <family val="2"/>
      </rPr>
      <t>ooo</t>
    </r>
    <r>
      <rPr>
        <b/>
        <sz val="12"/>
        <rFont val="Arial"/>
        <family val="2"/>
      </rPr>
      <t xml:space="preserve">OLIVEN   </t>
    </r>
  </si>
  <si>
    <t>ho SnackFun geröstet Dose Ungesalzen</t>
  </si>
  <si>
    <t>ho SnackFun geröstet Sack Ungesalzen</t>
  </si>
  <si>
    <t>2023-13</t>
  </si>
  <si>
    <r>
      <t>ttttt</t>
    </r>
    <r>
      <rPr>
        <b/>
        <sz val="12"/>
        <rFont val="Arial"/>
        <family val="2"/>
      </rPr>
      <t>TOMATEN in Dosen</t>
    </r>
  </si>
  <si>
    <t>hofer bioNatura gehackt 400g Dose</t>
  </si>
  <si>
    <t xml:space="preserve">leben </t>
  </si>
  <si>
    <r>
      <t xml:space="preserve">Sonenntor.at </t>
    </r>
    <r>
      <rPr>
        <b/>
        <sz val="12"/>
        <color indexed="55"/>
        <rFont val="Arial"/>
        <family val="2"/>
      </rPr>
      <t>BOCKSHORNKLEE</t>
    </r>
    <r>
      <rPr>
        <sz val="12"/>
        <color indexed="55"/>
        <rFont val="Arial"/>
        <family val="2"/>
      </rPr>
      <t xml:space="preserve"> ganz kbA</t>
    </r>
  </si>
  <si>
    <t>az-bioJoy</t>
  </si>
  <si>
    <t>Spar naturPur Kalamata O.K. bio</t>
  </si>
  <si>
    <t>dm bio (Nachfüllbeuten)</t>
  </si>
  <si>
    <t>dm bio Glas</t>
  </si>
  <si>
    <t>ho ZZU 500g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</si>
</sst>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&quot;öS&quot;\ #,##0;\-&quot;öS&quot;\ #,##0"/>
    <numFmt numFmtId="187" formatCode="&quot;öS&quot;\ #,##0;[Red]\-&quot;öS&quot;\ #,##0"/>
    <numFmt numFmtId="188" formatCode="&quot;öS&quot;\ #,##0.00;\-&quot;öS&quot;\ #,##0.00"/>
    <numFmt numFmtId="189" formatCode="&quot;öS&quot;\ #,##0.00;[Red]\-&quot;öS&quot;\ #,##0.00"/>
    <numFmt numFmtId="190" formatCode="_-&quot;öS&quot;\ * #,##0_-;\-&quot;öS&quot;\ * #,##0_-;_-&quot;öS&quot;\ * &quot;-&quot;_-;_-@_-"/>
    <numFmt numFmtId="191" formatCode="_-&quot;öS&quot;\ * #,##0.00_-;\-&quot;öS&quot;\ * #,##0.00_-;_-&quot;öS&quot;\ * &quot;-&quot;??_-;_-@_-"/>
    <numFmt numFmtId="192" formatCode="0.0"/>
    <numFmt numFmtId="193" formatCode="0.0000"/>
    <numFmt numFmtId="194" formatCode="0.000"/>
    <numFmt numFmtId="195" formatCode="&quot;Ja&quot;;&quot;Ja&quot;;&quot;Nein&quot;"/>
    <numFmt numFmtId="196" formatCode="&quot;Wahr&quot;;&quot;Wahr&quot;;&quot;Falsch&quot;"/>
    <numFmt numFmtId="197" formatCode="&quot;Ein&quot;;&quot;Ein&quot;;&quot;Aus&quot;"/>
    <numFmt numFmtId="198" formatCode="[$€-2]\ #,##0.00_);[Red]\([$€-2]\ #,##0.00\)"/>
  </numFmts>
  <fonts count="359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22"/>
      <name val="Arial"/>
      <family val="2"/>
    </font>
    <font>
      <b/>
      <sz val="10"/>
      <color indexed="12"/>
      <name val="Arial"/>
      <family val="2"/>
    </font>
    <font>
      <sz val="10"/>
      <color indexed="23"/>
      <name val="Arial"/>
      <family val="2"/>
    </font>
    <font>
      <sz val="10"/>
      <color indexed="14"/>
      <name val="Arial"/>
      <family val="2"/>
    </font>
    <font>
      <b/>
      <sz val="10"/>
      <color indexed="22"/>
      <name val="Arial"/>
      <family val="2"/>
    </font>
    <font>
      <sz val="10"/>
      <color indexed="10"/>
      <name val="Arial"/>
      <family val="2"/>
    </font>
    <font>
      <sz val="10"/>
      <color indexed="55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sz val="10"/>
      <color indexed="8"/>
      <name val="Arial"/>
      <family val="2"/>
    </font>
    <font>
      <sz val="10"/>
      <color indexed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2"/>
      <name val="Tahoma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16"/>
      <name val="Arial"/>
      <family val="2"/>
    </font>
    <font>
      <b/>
      <i/>
      <sz val="10"/>
      <color indexed="23"/>
      <name val="Arial"/>
      <family val="2"/>
    </font>
    <font>
      <sz val="10"/>
      <color indexed="44"/>
      <name val="Arial"/>
      <family val="2"/>
    </font>
    <font>
      <b/>
      <sz val="10"/>
      <color indexed="44"/>
      <name val="Arial"/>
      <family val="2"/>
    </font>
    <font>
      <b/>
      <sz val="10"/>
      <color indexed="55"/>
      <name val="Arial"/>
      <family val="2"/>
    </font>
    <font>
      <b/>
      <sz val="10"/>
      <color indexed="8"/>
      <name val="Arial"/>
      <family val="2"/>
    </font>
    <font>
      <sz val="12"/>
      <color indexed="16"/>
      <name val="Arial"/>
      <family val="2"/>
    </font>
    <font>
      <sz val="10"/>
      <color indexed="45"/>
      <name val="Arial"/>
      <family val="2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sz val="12"/>
      <color indexed="18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22"/>
      <name val="Arial"/>
      <family val="2"/>
    </font>
    <font>
      <sz val="10"/>
      <color indexed="63"/>
      <name val="Arial"/>
      <family val="2"/>
    </font>
    <font>
      <b/>
      <sz val="12"/>
      <color indexed="16"/>
      <name val="Arial"/>
      <family val="2"/>
    </font>
    <font>
      <b/>
      <sz val="18"/>
      <color indexed="10"/>
      <name val="Arial"/>
      <family val="2"/>
    </font>
    <font>
      <b/>
      <sz val="12"/>
      <color indexed="8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b/>
      <i/>
      <sz val="10"/>
      <color indexed="55"/>
      <name val="Arial"/>
      <family val="2"/>
    </font>
    <font>
      <b/>
      <sz val="10"/>
      <color indexed="23"/>
      <name val="Arial"/>
      <family val="2"/>
    </font>
    <font>
      <sz val="12"/>
      <name val="Tahoma"/>
      <family val="2"/>
    </font>
    <font>
      <sz val="10"/>
      <color indexed="40"/>
      <name val="Arial"/>
      <family val="2"/>
    </font>
    <font>
      <b/>
      <sz val="10"/>
      <color indexed="40"/>
      <name val="Arial"/>
      <family val="2"/>
    </font>
    <font>
      <sz val="10"/>
      <color indexed="62"/>
      <name val="Arial"/>
      <family val="2"/>
    </font>
    <font>
      <b/>
      <i/>
      <sz val="12"/>
      <color indexed="12"/>
      <name val="Arial"/>
      <family val="2"/>
    </font>
    <font>
      <b/>
      <i/>
      <sz val="12"/>
      <name val="Arial"/>
      <family val="2"/>
    </font>
    <font>
      <sz val="12"/>
      <color indexed="55"/>
      <name val="Arial"/>
      <family val="2"/>
    </font>
    <font>
      <b/>
      <sz val="12"/>
      <color indexed="17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i/>
      <sz val="10"/>
      <color indexed="12"/>
      <name val="Arial"/>
      <family val="2"/>
    </font>
    <font>
      <b/>
      <i/>
      <sz val="12"/>
      <color indexed="18"/>
      <name val="Arial"/>
      <family val="2"/>
    </font>
    <font>
      <b/>
      <i/>
      <sz val="14"/>
      <color indexed="12"/>
      <name val="Arial"/>
      <family val="2"/>
    </font>
    <font>
      <b/>
      <sz val="14"/>
      <color indexed="17"/>
      <name val="Arial"/>
      <family val="2"/>
    </font>
    <font>
      <b/>
      <sz val="12"/>
      <color indexed="55"/>
      <name val="Arial"/>
      <family val="2"/>
    </font>
    <font>
      <b/>
      <sz val="8"/>
      <color indexed="55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0"/>
      <color indexed="18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color indexed="10"/>
      <name val="Tahoma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4"/>
      <name val="Arial"/>
      <family val="2"/>
    </font>
    <font>
      <b/>
      <i/>
      <sz val="12"/>
      <color indexed="10"/>
      <name val="Arial"/>
      <family val="2"/>
    </font>
    <font>
      <b/>
      <sz val="12"/>
      <color indexed="40"/>
      <name val="Arial"/>
      <family val="2"/>
    </font>
    <font>
      <b/>
      <sz val="10"/>
      <name val="Tahoma"/>
      <family val="2"/>
    </font>
    <font>
      <b/>
      <sz val="18"/>
      <color indexed="14"/>
      <name val="Arial"/>
      <family val="2"/>
    </font>
    <font>
      <i/>
      <sz val="12"/>
      <name val="Arial"/>
      <family val="2"/>
    </font>
    <font>
      <b/>
      <i/>
      <sz val="12"/>
      <color indexed="17"/>
      <name val="Arial"/>
      <family val="2"/>
    </font>
    <font>
      <i/>
      <sz val="12"/>
      <color indexed="55"/>
      <name val="Arial"/>
      <family val="2"/>
    </font>
    <font>
      <i/>
      <sz val="12"/>
      <color indexed="8"/>
      <name val="Arial"/>
      <family val="2"/>
    </font>
    <font>
      <b/>
      <i/>
      <sz val="12"/>
      <color indexed="16"/>
      <name val="Arial"/>
      <family val="2"/>
    </font>
    <font>
      <b/>
      <i/>
      <sz val="11"/>
      <name val="Arial"/>
      <family val="2"/>
    </font>
    <font>
      <b/>
      <sz val="14"/>
      <name val="Tahoma"/>
      <family val="2"/>
    </font>
    <font>
      <b/>
      <i/>
      <sz val="14"/>
      <color indexed="12"/>
      <name val="Tahoma"/>
      <family val="2"/>
    </font>
    <font>
      <b/>
      <i/>
      <sz val="12"/>
      <color indexed="55"/>
      <name val="Arial"/>
      <family val="2"/>
    </font>
    <font>
      <b/>
      <sz val="7"/>
      <name val="Tahoma"/>
      <family val="2"/>
    </font>
    <font>
      <sz val="8"/>
      <color indexed="45"/>
      <name val="Arial"/>
      <family val="2"/>
    </font>
    <font>
      <b/>
      <i/>
      <sz val="12"/>
      <color indexed="8"/>
      <name val="Arial"/>
      <family val="2"/>
    </font>
    <font>
      <b/>
      <sz val="12"/>
      <color indexed="23"/>
      <name val="Arial"/>
      <family val="2"/>
    </font>
    <font>
      <sz val="18"/>
      <name val="Tahoma"/>
      <family val="2"/>
    </font>
    <font>
      <i/>
      <sz val="14"/>
      <name val="Arial"/>
      <family val="2"/>
    </font>
    <font>
      <sz val="14"/>
      <name val="Arial"/>
      <family val="2"/>
    </font>
    <font>
      <b/>
      <sz val="18"/>
      <color indexed="17"/>
      <name val="Arial"/>
      <family val="2"/>
    </font>
    <font>
      <b/>
      <sz val="12"/>
      <color indexed="10"/>
      <name val="Tahoma"/>
      <family val="2"/>
    </font>
    <font>
      <b/>
      <sz val="14"/>
      <color indexed="10"/>
      <name val="Tahoma"/>
      <family val="2"/>
    </font>
    <font>
      <b/>
      <sz val="12"/>
      <color indexed="14"/>
      <name val="Tahoma"/>
      <family val="2"/>
    </font>
    <font>
      <b/>
      <sz val="10"/>
      <color indexed="14"/>
      <name val="Arial"/>
      <family val="2"/>
    </font>
    <font>
      <sz val="12"/>
      <color indexed="14"/>
      <name val="Arial"/>
      <family val="2"/>
    </font>
    <font>
      <i/>
      <sz val="10"/>
      <color indexed="12"/>
      <name val="Arial"/>
      <family val="2"/>
    </font>
    <font>
      <b/>
      <sz val="16"/>
      <name val="Arial"/>
      <family val="2"/>
    </font>
    <font>
      <sz val="10"/>
      <name val="Tahoma"/>
      <family val="2"/>
    </font>
    <font>
      <sz val="12"/>
      <color indexed="17"/>
      <name val="Arial"/>
      <family val="2"/>
    </font>
    <font>
      <b/>
      <sz val="10"/>
      <color indexed="57"/>
      <name val="Arial"/>
      <family val="2"/>
    </font>
    <font>
      <b/>
      <sz val="10"/>
      <color indexed="45"/>
      <name val="Arial"/>
      <family val="2"/>
    </font>
    <font>
      <b/>
      <sz val="11"/>
      <color indexed="17"/>
      <name val="Arial"/>
      <family val="2"/>
    </font>
    <font>
      <sz val="10"/>
      <color indexed="15"/>
      <name val="Arial"/>
      <family val="2"/>
    </font>
    <font>
      <b/>
      <sz val="12"/>
      <color indexed="14"/>
      <name val="Arial"/>
      <family val="2"/>
    </font>
    <font>
      <sz val="14"/>
      <name val="Tahoma"/>
      <family val="2"/>
    </font>
    <font>
      <b/>
      <sz val="14"/>
      <color indexed="17"/>
      <name val="Tahoma"/>
      <family val="2"/>
    </font>
    <font>
      <sz val="14"/>
      <color indexed="17"/>
      <name val="Tahoma"/>
      <family val="2"/>
    </font>
    <font>
      <sz val="14"/>
      <color indexed="10"/>
      <name val="Tahoma"/>
      <family val="2"/>
    </font>
    <font>
      <sz val="14"/>
      <color indexed="14"/>
      <name val="Tahoma"/>
      <family val="2"/>
    </font>
    <font>
      <sz val="14"/>
      <color indexed="16"/>
      <name val="Tahoma"/>
      <family val="2"/>
    </font>
    <font>
      <b/>
      <sz val="11"/>
      <name val="Tahoma"/>
      <family val="2"/>
    </font>
    <font>
      <b/>
      <sz val="10"/>
      <color indexed="14"/>
      <name val="Tahoma"/>
      <family val="2"/>
    </font>
    <font>
      <b/>
      <sz val="13"/>
      <color indexed="12"/>
      <name val="Arial"/>
      <family val="2"/>
    </font>
    <font>
      <b/>
      <sz val="14"/>
      <color indexed="9"/>
      <name val="Arial"/>
      <family val="2"/>
    </font>
    <font>
      <sz val="8"/>
      <name val="Tahoma"/>
      <family val="2"/>
    </font>
    <font>
      <b/>
      <sz val="20"/>
      <name val="Tahoma"/>
      <family val="2"/>
    </font>
    <font>
      <b/>
      <sz val="14"/>
      <color indexed="22"/>
      <name val="Arial"/>
      <family val="2"/>
    </font>
    <font>
      <b/>
      <sz val="8"/>
      <name val="Tahoma"/>
      <family val="2"/>
    </font>
    <font>
      <b/>
      <i/>
      <sz val="12"/>
      <color indexed="22"/>
      <name val="Arial"/>
      <family val="2"/>
    </font>
    <font>
      <b/>
      <sz val="10"/>
      <color indexed="20"/>
      <name val="Arial"/>
      <family val="2"/>
    </font>
    <font>
      <u val="single"/>
      <sz val="8.7"/>
      <color indexed="12"/>
      <name val="Arial"/>
      <family val="2"/>
    </font>
    <font>
      <u val="single"/>
      <sz val="8.7"/>
      <color indexed="36"/>
      <name val="Arial"/>
      <family val="2"/>
    </font>
    <font>
      <b/>
      <sz val="14"/>
      <color indexed="12"/>
      <name val="Arial"/>
      <family val="2"/>
    </font>
    <font>
      <b/>
      <sz val="14"/>
      <color indexed="16"/>
      <name val="Arial"/>
      <family val="2"/>
    </font>
    <font>
      <b/>
      <sz val="14"/>
      <color indexed="10"/>
      <name val="Arial"/>
      <family val="2"/>
    </font>
    <font>
      <b/>
      <sz val="14"/>
      <color indexed="14"/>
      <name val="Arial"/>
      <family val="2"/>
    </font>
    <font>
      <b/>
      <sz val="14"/>
      <color indexed="14"/>
      <name val="Tahoma"/>
      <family val="2"/>
    </font>
    <font>
      <i/>
      <sz val="10"/>
      <color indexed="23"/>
      <name val="Arial"/>
      <family val="2"/>
    </font>
    <font>
      <b/>
      <i/>
      <sz val="11"/>
      <color indexed="55"/>
      <name val="Arial"/>
      <family val="2"/>
    </font>
    <font>
      <b/>
      <sz val="10"/>
      <color indexed="12"/>
      <name val="Tahoma"/>
      <family val="2"/>
    </font>
    <font>
      <b/>
      <i/>
      <sz val="10"/>
      <color indexed="22"/>
      <name val="Arial"/>
      <family val="2"/>
    </font>
    <font>
      <u val="single"/>
      <sz val="12"/>
      <color indexed="12"/>
      <name val="Courier"/>
      <family val="3"/>
    </font>
    <font>
      <b/>
      <i/>
      <sz val="11"/>
      <color indexed="8"/>
      <name val="Arial"/>
      <family val="2"/>
    </font>
    <font>
      <b/>
      <sz val="20"/>
      <name val="Arial"/>
      <family val="2"/>
    </font>
    <font>
      <sz val="11"/>
      <color indexed="10"/>
      <name val="Arial"/>
      <family val="2"/>
    </font>
    <font>
      <sz val="11"/>
      <color indexed="14"/>
      <name val="Arial"/>
      <family val="2"/>
    </font>
    <font>
      <b/>
      <sz val="14"/>
      <color indexed="16"/>
      <name val="Tahoma"/>
      <family val="2"/>
    </font>
    <font>
      <sz val="12"/>
      <name val="Courier"/>
      <family val="3"/>
    </font>
    <font>
      <b/>
      <i/>
      <sz val="16"/>
      <color indexed="12"/>
      <name val="Tahoma"/>
      <family val="2"/>
    </font>
    <font>
      <b/>
      <sz val="16"/>
      <color indexed="12"/>
      <name val="Tahoma"/>
      <family val="2"/>
    </font>
    <font>
      <b/>
      <u val="single"/>
      <sz val="20"/>
      <name val="Tahoma"/>
      <family val="2"/>
    </font>
    <font>
      <sz val="20"/>
      <name val="Tahoma"/>
      <family val="2"/>
    </font>
    <font>
      <sz val="10"/>
      <color indexed="9"/>
      <name val="Arial"/>
      <family val="2"/>
    </font>
    <font>
      <b/>
      <sz val="11"/>
      <color indexed="8"/>
      <name val="Arial"/>
      <family val="2"/>
    </font>
    <font>
      <b/>
      <sz val="11"/>
      <color indexed="55"/>
      <name val="Arial"/>
      <family val="2"/>
    </font>
    <font>
      <b/>
      <sz val="12"/>
      <color indexed="17"/>
      <name val="Tahoma"/>
      <family val="2"/>
    </font>
    <font>
      <sz val="12"/>
      <color indexed="17"/>
      <name val="Tahoma"/>
      <family val="2"/>
    </font>
    <font>
      <sz val="10"/>
      <color indexed="17"/>
      <name val="Tahoma"/>
      <family val="2"/>
    </font>
    <font>
      <b/>
      <i/>
      <sz val="10"/>
      <color indexed="14"/>
      <name val="Arial"/>
      <family val="2"/>
    </font>
    <font>
      <i/>
      <sz val="12"/>
      <color indexed="45"/>
      <name val="Arial"/>
      <family val="2"/>
    </font>
    <font>
      <i/>
      <sz val="12"/>
      <color indexed="18"/>
      <name val="Arial"/>
      <family val="2"/>
    </font>
    <font>
      <sz val="8"/>
      <color indexed="14"/>
      <name val="Arial"/>
      <family val="2"/>
    </font>
    <font>
      <b/>
      <sz val="10"/>
      <color indexed="55"/>
      <name val="Tahoma"/>
      <family val="2"/>
    </font>
    <font>
      <b/>
      <sz val="18"/>
      <name val="Arial"/>
      <family val="2"/>
    </font>
    <font>
      <b/>
      <sz val="20"/>
      <color indexed="10"/>
      <name val="Tahoma"/>
      <family val="2"/>
    </font>
    <font>
      <b/>
      <sz val="14"/>
      <color indexed="15"/>
      <name val="Tahoma"/>
      <family val="2"/>
    </font>
    <font>
      <b/>
      <sz val="14"/>
      <color indexed="55"/>
      <name val="Tahoma"/>
      <family val="2"/>
    </font>
    <font>
      <b/>
      <sz val="14"/>
      <color indexed="23"/>
      <name val="Tahoma"/>
      <family val="2"/>
    </font>
    <font>
      <b/>
      <sz val="14"/>
      <color indexed="8"/>
      <name val="Tahoma"/>
      <family val="2"/>
    </font>
    <font>
      <b/>
      <sz val="18"/>
      <color indexed="8"/>
      <name val="Tahoma"/>
      <family val="2"/>
    </font>
    <font>
      <b/>
      <sz val="18"/>
      <color indexed="12"/>
      <name val="Tahoma"/>
      <family val="2"/>
    </font>
    <font>
      <sz val="10"/>
      <color indexed="46"/>
      <name val="Arial"/>
      <family val="2"/>
    </font>
    <font>
      <sz val="12"/>
      <color indexed="14"/>
      <name val="Tahoma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0"/>
      <color indexed="15"/>
      <name val="Arial"/>
      <family val="2"/>
    </font>
    <font>
      <b/>
      <sz val="10"/>
      <color indexed="63"/>
      <name val="Arial"/>
      <family val="2"/>
    </font>
    <font>
      <sz val="10"/>
      <color indexed="49"/>
      <name val="Arial"/>
      <family val="2"/>
    </font>
    <font>
      <sz val="28"/>
      <color indexed="10"/>
      <name val="Tahoma"/>
      <family val="2"/>
    </font>
    <font>
      <b/>
      <sz val="28"/>
      <color indexed="10"/>
      <name val="Tahoma"/>
      <family val="2"/>
    </font>
    <font>
      <b/>
      <sz val="16"/>
      <color indexed="10"/>
      <name val="Tahoma"/>
      <family val="2"/>
    </font>
    <font>
      <i/>
      <sz val="10"/>
      <color indexed="17"/>
      <name val="Arial"/>
      <family val="2"/>
    </font>
    <font>
      <b/>
      <sz val="8"/>
      <color indexed="10"/>
      <name val="Arial"/>
      <family val="2"/>
    </font>
    <font>
      <b/>
      <i/>
      <sz val="8"/>
      <color indexed="55"/>
      <name val="Arial"/>
      <family val="2"/>
    </font>
    <font>
      <sz val="8"/>
      <color indexed="18"/>
      <name val="Arial"/>
      <family val="2"/>
    </font>
    <font>
      <sz val="8"/>
      <color indexed="55"/>
      <name val="Arial"/>
      <family val="2"/>
    </font>
    <font>
      <sz val="10"/>
      <color indexed="52"/>
      <name val="Arial"/>
      <family val="2"/>
    </font>
    <font>
      <i/>
      <sz val="11"/>
      <color indexed="8"/>
      <name val="Arial"/>
      <family val="2"/>
    </font>
    <font>
      <sz val="10"/>
      <color indexed="61"/>
      <name val="Arial"/>
      <family val="2"/>
    </font>
    <font>
      <i/>
      <sz val="10"/>
      <color indexed="22"/>
      <name val="Arial"/>
      <family val="2"/>
    </font>
    <font>
      <b/>
      <i/>
      <sz val="10"/>
      <color indexed="16"/>
      <name val="Arial"/>
      <family val="2"/>
    </font>
    <font>
      <b/>
      <i/>
      <sz val="10"/>
      <color indexed="17"/>
      <name val="Arial"/>
      <family val="2"/>
    </font>
    <font>
      <b/>
      <sz val="12"/>
      <color indexed="20"/>
      <name val="Arial"/>
      <family val="2"/>
    </font>
    <font>
      <sz val="10"/>
      <color indexed="20"/>
      <name val="Arial"/>
      <family val="2"/>
    </font>
    <font>
      <b/>
      <sz val="12"/>
      <color indexed="12"/>
      <name val="Tahoma"/>
      <family val="2"/>
    </font>
    <font>
      <b/>
      <sz val="10"/>
      <color indexed="46"/>
      <name val="Arial"/>
      <family val="2"/>
    </font>
    <font>
      <sz val="11"/>
      <color indexed="55"/>
      <name val="Arial"/>
      <family val="2"/>
    </font>
    <font>
      <b/>
      <sz val="13"/>
      <color indexed="14"/>
      <name val="Arial"/>
      <family val="2"/>
    </font>
    <font>
      <i/>
      <sz val="13"/>
      <name val="Arial"/>
      <family val="2"/>
    </font>
    <font>
      <b/>
      <sz val="16"/>
      <color indexed="9"/>
      <name val="Arial"/>
      <family val="2"/>
    </font>
    <font>
      <sz val="8"/>
      <color indexed="8"/>
      <name val="Arial"/>
      <family val="2"/>
    </font>
    <font>
      <i/>
      <sz val="11"/>
      <color indexed="16"/>
      <name val="Arial"/>
      <family val="2"/>
    </font>
    <font>
      <b/>
      <sz val="12"/>
      <color indexed="23"/>
      <name val="Tahoma"/>
      <family val="2"/>
    </font>
    <font>
      <b/>
      <u val="single"/>
      <sz val="22"/>
      <color indexed="10"/>
      <name val="Tahoma"/>
      <family val="2"/>
    </font>
    <font>
      <b/>
      <u val="single"/>
      <sz val="20"/>
      <color indexed="10"/>
      <name val="Tahoma"/>
      <family val="2"/>
    </font>
    <font>
      <b/>
      <u val="single"/>
      <sz val="12"/>
      <name val="Tahoma"/>
      <family val="2"/>
    </font>
    <font>
      <sz val="12"/>
      <color indexed="11"/>
      <name val="Tahoma"/>
      <family val="2"/>
    </font>
    <font>
      <b/>
      <sz val="12"/>
      <color indexed="11"/>
      <name val="Tahoma"/>
      <family val="2"/>
    </font>
    <font>
      <sz val="12"/>
      <color indexed="10"/>
      <name val="Tahoma"/>
      <family val="2"/>
    </font>
    <font>
      <u val="single"/>
      <sz val="12"/>
      <name val="Tahoma"/>
      <family val="2"/>
    </font>
    <font>
      <u val="single"/>
      <sz val="12"/>
      <color indexed="10"/>
      <name val="Tahoma"/>
      <family val="2"/>
    </font>
    <font>
      <b/>
      <u val="single"/>
      <sz val="12"/>
      <color indexed="10"/>
      <name val="Tahoma"/>
      <family val="2"/>
    </font>
    <font>
      <b/>
      <sz val="14"/>
      <color indexed="55"/>
      <name val="Arial"/>
      <family val="2"/>
    </font>
    <font>
      <sz val="8"/>
      <color indexed="10"/>
      <name val="Arial"/>
      <family val="2"/>
    </font>
    <font>
      <sz val="10"/>
      <color indexed="58"/>
      <name val="Arial"/>
      <family val="2"/>
    </font>
    <font>
      <b/>
      <sz val="14"/>
      <color indexed="8"/>
      <name val="Arial"/>
      <family val="2"/>
    </font>
    <font>
      <b/>
      <i/>
      <sz val="11"/>
      <color indexed="17"/>
      <name val="Arial"/>
      <family val="2"/>
    </font>
    <font>
      <sz val="12"/>
      <color indexed="9"/>
      <name val="Arial"/>
      <family val="2"/>
    </font>
    <font>
      <b/>
      <i/>
      <sz val="13"/>
      <name val="Arial"/>
      <family val="2"/>
    </font>
    <font>
      <b/>
      <sz val="16"/>
      <color indexed="8"/>
      <name val="Arial"/>
      <family val="2"/>
    </font>
    <font>
      <b/>
      <sz val="12"/>
      <color indexed="57"/>
      <name val="Tahoma"/>
      <family val="2"/>
    </font>
    <font>
      <b/>
      <i/>
      <sz val="10"/>
      <color indexed="8"/>
      <name val="Arial"/>
      <family val="2"/>
    </font>
    <font>
      <b/>
      <u val="single"/>
      <sz val="8"/>
      <name val="Tahoma"/>
      <family val="2"/>
    </font>
    <font>
      <sz val="8"/>
      <color indexed="11"/>
      <name val="Tahoma"/>
      <family val="2"/>
    </font>
    <font>
      <i/>
      <sz val="12"/>
      <name val="Tahoma"/>
      <family val="2"/>
    </font>
    <font>
      <sz val="12"/>
      <color indexed="58"/>
      <name val="Arial"/>
      <family val="2"/>
    </font>
    <font>
      <i/>
      <sz val="11"/>
      <color indexed="55"/>
      <name val="Arial"/>
      <family val="2"/>
    </font>
    <font>
      <b/>
      <i/>
      <sz val="13"/>
      <color indexed="55"/>
      <name val="Arial"/>
      <family val="2"/>
    </font>
    <font>
      <i/>
      <sz val="10"/>
      <color indexed="8"/>
      <name val="Arial"/>
      <family val="2"/>
    </font>
    <font>
      <b/>
      <sz val="14"/>
      <color indexed="18"/>
      <name val="Arial"/>
      <family val="2"/>
    </font>
    <font>
      <b/>
      <sz val="16"/>
      <name val="Tahoma"/>
      <family val="2"/>
    </font>
    <font>
      <b/>
      <i/>
      <sz val="11"/>
      <color indexed="10"/>
      <name val="Arial"/>
      <family val="2"/>
    </font>
    <font>
      <b/>
      <sz val="12"/>
      <color indexed="48"/>
      <name val="Tahoma"/>
      <family val="2"/>
    </font>
    <font>
      <sz val="10"/>
      <color indexed="56"/>
      <name val="Arial"/>
      <family val="2"/>
    </font>
    <font>
      <b/>
      <sz val="8"/>
      <color indexed="10"/>
      <name val="Tahoma"/>
      <family val="2"/>
    </font>
    <font>
      <b/>
      <sz val="8"/>
      <color indexed="14"/>
      <name val="Tahoma"/>
      <family val="2"/>
    </font>
    <font>
      <sz val="9"/>
      <color indexed="10"/>
      <name val="Arial"/>
      <family val="2"/>
    </font>
    <font>
      <b/>
      <sz val="11"/>
      <color indexed="16"/>
      <name val="Tahoma"/>
      <family val="2"/>
    </font>
    <font>
      <b/>
      <sz val="16"/>
      <color indexed="18"/>
      <name val="Arial"/>
      <family val="2"/>
    </font>
    <font>
      <b/>
      <sz val="14"/>
      <color indexed="57"/>
      <name val="Tahoma"/>
      <family val="2"/>
    </font>
    <font>
      <b/>
      <sz val="18"/>
      <color indexed="9"/>
      <name val="Arial"/>
      <family val="2"/>
    </font>
    <font>
      <i/>
      <sz val="8"/>
      <name val="Arial"/>
      <family val="2"/>
    </font>
    <font>
      <b/>
      <i/>
      <sz val="8"/>
      <color indexed="12"/>
      <name val="Arial"/>
      <family val="2"/>
    </font>
    <font>
      <sz val="10"/>
      <color indexed="57"/>
      <name val="Arial"/>
      <family val="2"/>
    </font>
    <font>
      <sz val="11"/>
      <color indexed="16"/>
      <name val="Arial"/>
      <family val="2"/>
    </font>
    <font>
      <sz val="8"/>
      <color indexed="12"/>
      <name val="Arial"/>
      <family val="2"/>
    </font>
    <font>
      <sz val="8"/>
      <color indexed="48"/>
      <name val="Arial"/>
      <family val="2"/>
    </font>
    <font>
      <b/>
      <sz val="12"/>
      <color indexed="57"/>
      <name val="Arial"/>
      <family val="2"/>
    </font>
    <font>
      <b/>
      <i/>
      <sz val="12"/>
      <color indexed="14"/>
      <name val="Arial"/>
      <family val="2"/>
    </font>
    <font>
      <b/>
      <sz val="8"/>
      <color indexed="17"/>
      <name val="Arial"/>
      <family val="2"/>
    </font>
    <font>
      <b/>
      <sz val="8"/>
      <color indexed="8"/>
      <name val="Arial"/>
      <family val="2"/>
    </font>
    <font>
      <b/>
      <sz val="8"/>
      <color indexed="14"/>
      <name val="Arial"/>
      <family val="2"/>
    </font>
    <font>
      <sz val="8"/>
      <color indexed="20"/>
      <name val="Arial"/>
      <family val="2"/>
    </font>
    <font>
      <sz val="8"/>
      <color indexed="23"/>
      <name val="Arial"/>
      <family val="2"/>
    </font>
    <font>
      <sz val="8"/>
      <color indexed="22"/>
      <name val="Arial"/>
      <family val="2"/>
    </font>
    <font>
      <sz val="12"/>
      <color indexed="22"/>
      <name val="Arial"/>
      <family val="2"/>
    </font>
    <font>
      <i/>
      <sz val="12"/>
      <color indexed="12"/>
      <name val="Arial"/>
      <family val="2"/>
    </font>
    <font>
      <b/>
      <u val="single"/>
      <sz val="14"/>
      <color indexed="18"/>
      <name val="Arial"/>
      <family val="2"/>
    </font>
    <font>
      <sz val="8"/>
      <color indexed="44"/>
      <name val="Arial"/>
      <family val="2"/>
    </font>
    <font>
      <b/>
      <i/>
      <sz val="11"/>
      <color indexed="22"/>
      <name val="Arial"/>
      <family val="2"/>
    </font>
    <font>
      <b/>
      <u val="single"/>
      <sz val="14"/>
      <name val="Tahoma"/>
      <family val="2"/>
    </font>
    <font>
      <i/>
      <sz val="12"/>
      <color indexed="10"/>
      <name val="Arial"/>
      <family val="2"/>
    </font>
    <font>
      <b/>
      <sz val="8"/>
      <color indexed="22"/>
      <name val="Arial"/>
      <family val="2"/>
    </font>
    <font>
      <b/>
      <sz val="8"/>
      <color indexed="12"/>
      <name val="Arial"/>
      <family val="2"/>
    </font>
    <font>
      <sz val="8"/>
      <color indexed="40"/>
      <name val="Arial"/>
      <family val="2"/>
    </font>
    <font>
      <b/>
      <sz val="10"/>
      <color indexed="61"/>
      <name val="Arial"/>
      <family val="2"/>
    </font>
    <font>
      <sz val="12"/>
      <color indexed="44"/>
      <name val="Arial"/>
      <family val="2"/>
    </font>
    <font>
      <b/>
      <sz val="8"/>
      <color indexed="9"/>
      <name val="Arial"/>
      <family val="2"/>
    </font>
    <font>
      <b/>
      <sz val="12"/>
      <name val="Courier New"/>
      <family val="3"/>
    </font>
    <font>
      <b/>
      <sz val="6"/>
      <color indexed="9"/>
      <name val="Arial"/>
      <family val="2"/>
    </font>
    <font>
      <sz val="11"/>
      <color indexed="45"/>
      <name val="Arial"/>
      <family val="2"/>
    </font>
    <font>
      <b/>
      <sz val="11"/>
      <color indexed="10"/>
      <name val="Arial"/>
      <family val="2"/>
    </font>
    <font>
      <b/>
      <sz val="18"/>
      <name val="Arial Unicode MS"/>
      <family val="0"/>
    </font>
    <font>
      <b/>
      <sz val="10"/>
      <color indexed="21"/>
      <name val="Arial"/>
      <family val="2"/>
    </font>
    <font>
      <b/>
      <sz val="8"/>
      <color indexed="40"/>
      <name val="Arial"/>
      <family val="2"/>
    </font>
    <font>
      <b/>
      <sz val="8"/>
      <color indexed="44"/>
      <name val="Arial"/>
      <family val="2"/>
    </font>
    <font>
      <b/>
      <sz val="8"/>
      <color indexed="20"/>
      <name val="Arial"/>
      <family val="2"/>
    </font>
    <font>
      <b/>
      <sz val="13"/>
      <color indexed="9"/>
      <name val="Arial"/>
      <family val="2"/>
    </font>
    <font>
      <sz val="12"/>
      <color indexed="40"/>
      <name val="Arial"/>
      <family val="2"/>
    </font>
    <font>
      <sz val="11"/>
      <color indexed="12"/>
      <name val="Arial"/>
      <family val="2"/>
    </font>
    <font>
      <sz val="11"/>
      <color indexed="18"/>
      <name val="Arial"/>
      <family val="2"/>
    </font>
    <font>
      <b/>
      <sz val="11"/>
      <color indexed="57"/>
      <name val="Arial"/>
      <family val="2"/>
    </font>
    <font>
      <b/>
      <u val="single"/>
      <sz val="10"/>
      <color indexed="8"/>
      <name val="Arial"/>
      <family val="2"/>
    </font>
    <font>
      <sz val="12"/>
      <color indexed="20"/>
      <name val="Arial"/>
      <family val="2"/>
    </font>
    <font>
      <sz val="10"/>
      <color indexed="54"/>
      <name val="Arial"/>
      <family val="2"/>
    </font>
    <font>
      <b/>
      <sz val="10"/>
      <color indexed="54"/>
      <name val="Arial"/>
      <family val="2"/>
    </font>
    <font>
      <b/>
      <sz val="10"/>
      <color indexed="58"/>
      <name val="Arial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0" tint="-0.24997000396251678"/>
      <name val="Arial"/>
      <family val="2"/>
    </font>
    <font>
      <sz val="10"/>
      <color theme="0" tint="-0.2499700039625167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3" tint="0.39998000860214233"/>
      <name val="Arial"/>
      <family val="2"/>
    </font>
    <font>
      <sz val="10"/>
      <color theme="0" tint="-0.3499799966812134"/>
      <name val="Arial"/>
      <family val="2"/>
    </font>
    <font>
      <b/>
      <sz val="10"/>
      <color theme="1" tint="0.34999001026153564"/>
      <name val="Arial"/>
      <family val="2"/>
    </font>
    <font>
      <sz val="10"/>
      <color theme="1" tint="0.34999001026153564"/>
      <name val="Arial"/>
      <family val="2"/>
    </font>
    <font>
      <b/>
      <sz val="10"/>
      <color theme="1" tint="0.49998000264167786"/>
      <name val="Arial"/>
      <family val="2"/>
    </font>
    <font>
      <sz val="10"/>
      <color theme="1" tint="0.49998000264167786"/>
      <name val="Arial"/>
      <family val="2"/>
    </font>
    <font>
      <b/>
      <sz val="10"/>
      <color theme="0" tint="-0.3499799966812134"/>
      <name val="Arial"/>
      <family val="2"/>
    </font>
    <font>
      <b/>
      <sz val="10"/>
      <color theme="1"/>
      <name val="Arial"/>
      <family val="2"/>
    </font>
    <font>
      <b/>
      <sz val="10"/>
      <color theme="0" tint="-0.4999699890613556"/>
      <name val="Arial"/>
      <family val="2"/>
    </font>
    <font>
      <sz val="10"/>
      <color theme="0" tint="-0.4999699890613556"/>
      <name val="Arial"/>
      <family val="2"/>
    </font>
    <font>
      <sz val="10"/>
      <color theme="1" tint="0.04998999834060669"/>
      <name val="Arial"/>
      <family val="2"/>
    </font>
    <font>
      <sz val="10"/>
      <color rgb="FFFF33CC"/>
      <name val="Arial"/>
      <family val="2"/>
    </font>
    <font>
      <b/>
      <sz val="10"/>
      <color rgb="FFFF33CC"/>
      <name val="Arial"/>
      <family val="2"/>
    </font>
    <font>
      <sz val="10"/>
      <color rgb="FF002060"/>
      <name val="Arial"/>
      <family val="2"/>
    </font>
    <font>
      <b/>
      <sz val="10"/>
      <color theme="1" tint="0.24998000264167786"/>
      <name val="Arial"/>
      <family val="2"/>
    </font>
    <font>
      <sz val="10"/>
      <color theme="1" tint="0.24998000264167786"/>
      <name val="Arial"/>
      <family val="2"/>
    </font>
    <font>
      <sz val="10"/>
      <color rgb="FFFF0000"/>
      <name val="Arial"/>
      <family val="2"/>
    </font>
    <font>
      <sz val="10"/>
      <color theme="3" tint="0.5999900102615356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0"/>
      <color rgb="FFC00000"/>
      <name val="Arial"/>
      <family val="2"/>
    </font>
    <font>
      <b/>
      <sz val="10"/>
      <color theme="6" tint="-0.4999699890613556"/>
      <name val="Arial"/>
      <family val="2"/>
    </font>
    <font>
      <b/>
      <sz val="10"/>
      <color rgb="FF00B050"/>
      <name val="Arial"/>
      <family val="2"/>
    </font>
    <font>
      <b/>
      <sz val="12"/>
      <color theme="0" tint="-0.3499799966812134"/>
      <name val="Arial"/>
      <family val="2"/>
    </font>
    <font>
      <sz val="12"/>
      <color theme="0" tint="-0.3499799966812134"/>
      <name val="Arial"/>
      <family val="2"/>
    </font>
    <font>
      <b/>
      <sz val="10"/>
      <color theme="4" tint="0.39998000860214233"/>
      <name val="Arial"/>
      <family val="2"/>
    </font>
    <font>
      <sz val="10"/>
      <color theme="4" tint="0.39998000860214233"/>
      <name val="Arial"/>
      <family val="2"/>
    </font>
    <font>
      <sz val="10"/>
      <color theme="9" tint="-0.4999699890613556"/>
      <name val="Arial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sz val="10"/>
      <color rgb="FFFF00FF"/>
      <name val="Arial"/>
      <family val="2"/>
    </font>
    <font>
      <sz val="10"/>
      <color rgb="FFCC0000"/>
      <name val="Arial"/>
      <family val="2"/>
    </font>
    <font>
      <b/>
      <sz val="10"/>
      <color theme="1" tint="0.15000000596046448"/>
      <name val="Arial"/>
      <family val="2"/>
    </font>
    <font>
      <sz val="10"/>
      <color rgb="FF7030A0"/>
      <name val="Arial"/>
      <family val="2"/>
    </font>
    <font>
      <b/>
      <sz val="10"/>
      <color theme="0" tint="-0.1499900072813034"/>
      <name val="Arial"/>
      <family val="2"/>
    </font>
    <font>
      <sz val="10"/>
      <color theme="0" tint="-0.1499900072813034"/>
      <name val="Arial"/>
      <family val="2"/>
    </font>
    <font>
      <sz val="12"/>
      <color theme="0" tint="-0.24997000396251678"/>
      <name val="Arial"/>
      <family val="2"/>
    </font>
    <font>
      <sz val="10"/>
      <color theme="9" tint="0.39998000860214233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DashDotDot">
        <color indexed="10"/>
      </left>
      <right style="mediumDashDotDot">
        <color indexed="10"/>
      </right>
      <top>
        <color indexed="63"/>
      </top>
      <bottom style="mediumDashDotDot">
        <color indexed="10"/>
      </bottom>
    </border>
    <border>
      <left style="mediumDashDotDot">
        <color indexed="17"/>
      </left>
      <right style="mediumDashDotDot">
        <color indexed="17"/>
      </right>
      <top style="mediumDashDotDot">
        <color indexed="17"/>
      </top>
      <bottom>
        <color indexed="63"/>
      </bottom>
    </border>
    <border>
      <left style="mediumDashDotDot">
        <color indexed="17"/>
      </left>
      <right style="mediumDashDotDot">
        <color indexed="17"/>
      </right>
      <top>
        <color indexed="63"/>
      </top>
      <bottom style="mediumDashDotDot">
        <color indexed="17"/>
      </bottom>
    </border>
    <border>
      <left>
        <color indexed="63"/>
      </left>
      <right>
        <color indexed="63"/>
      </right>
      <top style="thin"/>
      <bottom style="thin"/>
    </border>
    <border>
      <left style="mediumDashed">
        <color indexed="10"/>
      </left>
      <right style="mediumDashed">
        <color indexed="10"/>
      </right>
      <top style="mediumDashed">
        <color indexed="10"/>
      </top>
      <bottom>
        <color indexed="63"/>
      </bottom>
    </border>
    <border>
      <left style="mediumDashed">
        <color indexed="10"/>
      </left>
      <right style="mediumDashed">
        <color indexed="10"/>
      </right>
      <top>
        <color indexed="63"/>
      </top>
      <bottom style="mediumDashed">
        <color indexed="10"/>
      </bottom>
    </border>
    <border>
      <left style="mediumDashDot">
        <color indexed="14"/>
      </left>
      <right style="mediumDashDot">
        <color indexed="14"/>
      </right>
      <top>
        <color indexed="63"/>
      </top>
      <bottom>
        <color indexed="63"/>
      </bottom>
    </border>
    <border>
      <left style="mediumDashDot">
        <color indexed="14"/>
      </left>
      <right style="mediumDashDot">
        <color indexed="14"/>
      </right>
      <top>
        <color indexed="63"/>
      </top>
      <bottom style="mediumDashDot">
        <color indexed="14"/>
      </bottom>
    </border>
    <border>
      <left style="mediumDashDotDot">
        <color indexed="10"/>
      </left>
      <right style="mediumDashDotDot">
        <color indexed="10"/>
      </right>
      <top style="mediumDashDotDot">
        <color indexed="10"/>
      </top>
      <bottom>
        <color indexed="63"/>
      </bottom>
    </border>
    <border>
      <left style="mediumDashDot">
        <color indexed="10"/>
      </left>
      <right style="mediumDashDot">
        <color indexed="10"/>
      </right>
      <top style="mediumDashDot">
        <color indexed="10"/>
      </top>
      <bottom>
        <color indexed="63"/>
      </bottom>
    </border>
    <border>
      <left style="mediumDashDot">
        <color indexed="10"/>
      </left>
      <right style="mediumDashDot">
        <color indexed="10"/>
      </right>
      <top>
        <color indexed="63"/>
      </top>
      <bottom style="mediumDashDot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DashDot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DashDot">
        <color indexed="14"/>
      </left>
      <right style="mediumDashDot">
        <color indexed="14"/>
      </right>
      <top style="mediumDashDot">
        <color indexed="14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ashDotDot">
        <color indexed="14"/>
      </left>
      <right style="dashDotDot">
        <color indexed="14"/>
      </right>
      <top style="dashDotDot">
        <color indexed="14"/>
      </top>
      <bottom>
        <color indexed="63"/>
      </bottom>
    </border>
    <border>
      <left style="dashDotDot">
        <color indexed="14"/>
      </left>
      <right style="dashDotDot">
        <color indexed="14"/>
      </right>
      <top>
        <color indexed="63"/>
      </top>
      <bottom style="dashDotDot">
        <color indexed="1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>
        <color indexed="14"/>
      </bottom>
    </border>
    <border>
      <left style="mediumDashed">
        <color indexed="14"/>
      </left>
      <right style="mediumDashed">
        <color indexed="14"/>
      </right>
      <top style="mediumDashed">
        <color indexed="14"/>
      </top>
      <bottom>
        <color indexed="63"/>
      </bottom>
    </border>
    <border>
      <left style="mediumDashed">
        <color indexed="14"/>
      </left>
      <right style="mediumDashed">
        <color indexed="14"/>
      </right>
      <top>
        <color indexed="63"/>
      </top>
      <bottom style="mediumDashed">
        <color indexed="1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0" fillId="2" borderId="0" applyNumberFormat="0" applyBorder="0" applyAlignment="0" applyProtection="0"/>
    <xf numFmtId="0" fontId="300" fillId="3" borderId="0" applyNumberFormat="0" applyBorder="0" applyAlignment="0" applyProtection="0"/>
    <xf numFmtId="0" fontId="300" fillId="4" borderId="0" applyNumberFormat="0" applyBorder="0" applyAlignment="0" applyProtection="0"/>
    <xf numFmtId="0" fontId="300" fillId="5" borderId="0" applyNumberFormat="0" applyBorder="0" applyAlignment="0" applyProtection="0"/>
    <xf numFmtId="0" fontId="300" fillId="6" borderId="0" applyNumberFormat="0" applyBorder="0" applyAlignment="0" applyProtection="0"/>
    <xf numFmtId="0" fontId="300" fillId="7" borderId="0" applyNumberFormat="0" applyBorder="0" applyAlignment="0" applyProtection="0"/>
    <xf numFmtId="0" fontId="300" fillId="8" borderId="0" applyNumberFormat="0" applyBorder="0" applyAlignment="0" applyProtection="0"/>
    <xf numFmtId="0" fontId="300" fillId="9" borderId="0" applyNumberFormat="0" applyBorder="0" applyAlignment="0" applyProtection="0"/>
    <xf numFmtId="0" fontId="300" fillId="10" borderId="0" applyNumberFormat="0" applyBorder="0" applyAlignment="0" applyProtection="0"/>
    <xf numFmtId="0" fontId="300" fillId="11" borderId="0" applyNumberFormat="0" applyBorder="0" applyAlignment="0" applyProtection="0"/>
    <xf numFmtId="0" fontId="300" fillId="12" borderId="0" applyNumberFormat="0" applyBorder="0" applyAlignment="0" applyProtection="0"/>
    <xf numFmtId="0" fontId="300" fillId="13" borderId="0" applyNumberFormat="0" applyBorder="0" applyAlignment="0" applyProtection="0"/>
    <xf numFmtId="0" fontId="301" fillId="14" borderId="0" applyNumberFormat="0" applyBorder="0" applyAlignment="0" applyProtection="0"/>
    <xf numFmtId="0" fontId="301" fillId="15" borderId="0" applyNumberFormat="0" applyBorder="0" applyAlignment="0" applyProtection="0"/>
    <xf numFmtId="0" fontId="301" fillId="16" borderId="0" applyNumberFormat="0" applyBorder="0" applyAlignment="0" applyProtection="0"/>
    <xf numFmtId="0" fontId="301" fillId="17" borderId="0" applyNumberFormat="0" applyBorder="0" applyAlignment="0" applyProtection="0"/>
    <xf numFmtId="0" fontId="301" fillId="18" borderId="0" applyNumberFormat="0" applyBorder="0" applyAlignment="0" applyProtection="0"/>
    <xf numFmtId="0" fontId="301" fillId="19" borderId="0" applyNumberFormat="0" applyBorder="0" applyAlignment="0" applyProtection="0"/>
    <xf numFmtId="0" fontId="301" fillId="20" borderId="0" applyNumberFormat="0" applyBorder="0" applyAlignment="0" applyProtection="0"/>
    <xf numFmtId="0" fontId="301" fillId="21" borderId="0" applyNumberFormat="0" applyBorder="0" applyAlignment="0" applyProtection="0"/>
    <xf numFmtId="0" fontId="301" fillId="22" borderId="0" applyNumberFormat="0" applyBorder="0" applyAlignment="0" applyProtection="0"/>
    <xf numFmtId="0" fontId="301" fillId="23" borderId="0" applyNumberFormat="0" applyBorder="0" applyAlignment="0" applyProtection="0"/>
    <xf numFmtId="0" fontId="301" fillId="24" borderId="0" applyNumberFormat="0" applyBorder="0" applyAlignment="0" applyProtection="0"/>
    <xf numFmtId="0" fontId="301" fillId="25" borderId="0" applyNumberFormat="0" applyBorder="0" applyAlignment="0" applyProtection="0"/>
    <xf numFmtId="0" fontId="302" fillId="26" borderId="1" applyNumberFormat="0" applyAlignment="0" applyProtection="0"/>
    <xf numFmtId="0" fontId="303" fillId="26" borderId="2" applyNumberFormat="0" applyAlignment="0" applyProtection="0"/>
    <xf numFmtId="0" fontId="121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0" fontId="304" fillId="27" borderId="2" applyNumberFormat="0" applyAlignment="0" applyProtection="0"/>
    <xf numFmtId="0" fontId="305" fillId="0" borderId="3" applyNumberFormat="0" applyFill="0" applyAlignment="0" applyProtection="0"/>
    <xf numFmtId="0" fontId="306" fillId="0" borderId="0" applyNumberFormat="0" applyFill="0" applyBorder="0" applyAlignment="0" applyProtection="0"/>
    <xf numFmtId="0" fontId="307" fillId="28" borderId="0" applyNumberFormat="0" applyBorder="0" applyAlignment="0" applyProtection="0"/>
    <xf numFmtId="0" fontId="12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0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9" fillId="31" borderId="0" applyNumberFormat="0" applyBorder="0" applyAlignment="0" applyProtection="0"/>
    <xf numFmtId="0" fontId="310" fillId="0" borderId="0" applyNumberFormat="0" applyFill="0" applyBorder="0" applyAlignment="0" applyProtection="0"/>
    <xf numFmtId="0" fontId="311" fillId="0" borderId="5" applyNumberFormat="0" applyFill="0" applyAlignment="0" applyProtection="0"/>
    <xf numFmtId="0" fontId="312" fillId="0" borderId="6" applyNumberFormat="0" applyFill="0" applyAlignment="0" applyProtection="0"/>
    <xf numFmtId="0" fontId="313" fillId="0" borderId="7" applyNumberFormat="0" applyFill="0" applyAlignment="0" applyProtection="0"/>
    <xf numFmtId="0" fontId="313" fillId="0" borderId="0" applyNumberFormat="0" applyFill="0" applyBorder="0" applyAlignment="0" applyProtection="0"/>
    <xf numFmtId="0" fontId="314" fillId="0" borderId="8" applyNumberFormat="0" applyFill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15" fillId="0" borderId="0" applyNumberFormat="0" applyFill="0" applyBorder="0" applyAlignment="0" applyProtection="0"/>
    <xf numFmtId="0" fontId="316" fillId="32" borderId="9" applyNumberFormat="0" applyAlignment="0" applyProtection="0"/>
  </cellStyleXfs>
  <cellXfs count="162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/>
    </xf>
    <xf numFmtId="0" fontId="0" fillId="0" borderId="0" xfId="0" applyBorder="1" applyAlignment="1" quotePrefix="1">
      <alignment/>
    </xf>
    <xf numFmtId="192" fontId="0" fillId="0" borderId="0" xfId="0" applyNumberFormat="1" applyBorder="1" applyAlignment="1">
      <alignment horizontal="left"/>
    </xf>
    <xf numFmtId="0" fontId="4" fillId="0" borderId="0" xfId="0" applyFont="1" applyAlignment="1">
      <alignment horizontal="right"/>
    </xf>
    <xf numFmtId="2" fontId="2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192" fontId="8" fillId="0" borderId="0" xfId="0" applyNumberFormat="1" applyFont="1" applyBorder="1" applyAlignment="1">
      <alignment horizontal="left"/>
    </xf>
    <xf numFmtId="0" fontId="9" fillId="0" borderId="0" xfId="0" applyFont="1" applyAlignment="1">
      <alignment horizontal="right"/>
    </xf>
    <xf numFmtId="2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right"/>
    </xf>
    <xf numFmtId="2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right"/>
    </xf>
    <xf numFmtId="2" fontId="8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2" fillId="0" borderId="0" xfId="0" applyFont="1" applyAlignment="1">
      <alignment horizontal="right"/>
    </xf>
    <xf numFmtId="2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2" fontId="13" fillId="0" borderId="0" xfId="0" applyNumberFormat="1" applyFont="1" applyAlignment="1">
      <alignment/>
    </xf>
    <xf numFmtId="0" fontId="13" fillId="0" borderId="0" xfId="0" applyFont="1" applyAlignment="1">
      <alignment/>
    </xf>
    <xf numFmtId="2" fontId="13" fillId="0" borderId="0" xfId="0" applyNumberFormat="1" applyFont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2" fontId="8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2" fontId="2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2" fontId="6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2" fontId="12" fillId="0" borderId="0" xfId="0" applyNumberFormat="1" applyFont="1" applyAlignment="1">
      <alignment horizontal="right"/>
    </xf>
    <xf numFmtId="2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0" fontId="22" fillId="0" borderId="0" xfId="0" applyFont="1" applyAlignment="1">
      <alignment horizontal="right"/>
    </xf>
    <xf numFmtId="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2" fontId="2" fillId="0" borderId="0" xfId="0" applyNumberFormat="1" applyFont="1" applyBorder="1" applyAlignment="1">
      <alignment/>
    </xf>
    <xf numFmtId="192" fontId="2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Border="1" applyAlignment="1">
      <alignment horizontal="right"/>
    </xf>
    <xf numFmtId="0" fontId="28" fillId="0" borderId="0" xfId="0" applyFont="1" applyAlignment="1">
      <alignment horizontal="right"/>
    </xf>
    <xf numFmtId="0" fontId="29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 quotePrefix="1">
      <alignment/>
    </xf>
    <xf numFmtId="0" fontId="30" fillId="0" borderId="0" xfId="0" applyFont="1" applyAlignment="1">
      <alignment horizontal="right"/>
    </xf>
    <xf numFmtId="192" fontId="11" fillId="0" borderId="0" xfId="0" applyNumberFormat="1" applyFont="1" applyBorder="1" applyAlignment="1">
      <alignment horizontal="left"/>
    </xf>
    <xf numFmtId="0" fontId="16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32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2" fontId="35" fillId="0" borderId="0" xfId="0" applyNumberFormat="1" applyFont="1" applyAlignment="1">
      <alignment/>
    </xf>
    <xf numFmtId="0" fontId="35" fillId="0" borderId="0" xfId="0" applyFont="1" applyAlignment="1">
      <alignment/>
    </xf>
    <xf numFmtId="0" fontId="0" fillId="0" borderId="0" xfId="0" applyFont="1" applyAlignment="1" quotePrefix="1">
      <alignment/>
    </xf>
    <xf numFmtId="2" fontId="0" fillId="0" borderId="0" xfId="0" applyNumberFormat="1" applyFont="1" applyBorder="1" applyAlignment="1">
      <alignment/>
    </xf>
    <xf numFmtId="2" fontId="9" fillId="0" borderId="0" xfId="0" applyNumberFormat="1" applyFont="1" applyAlignment="1">
      <alignment horizontal="right"/>
    </xf>
    <xf numFmtId="0" fontId="25" fillId="0" borderId="0" xfId="0" applyFont="1" applyAlignment="1">
      <alignment horizontal="right"/>
    </xf>
    <xf numFmtId="2" fontId="12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2" fontId="1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18" fillId="0" borderId="0" xfId="0" applyNumberFormat="1" applyFont="1" applyAlignment="1">
      <alignment/>
    </xf>
    <xf numFmtId="0" fontId="18" fillId="0" borderId="0" xfId="0" applyFont="1" applyAlignment="1">
      <alignment/>
    </xf>
    <xf numFmtId="2" fontId="11" fillId="0" borderId="0" xfId="0" applyNumberFormat="1" applyFont="1" applyAlignment="1">
      <alignment horizontal="right"/>
    </xf>
    <xf numFmtId="2" fontId="11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7" fillId="0" borderId="0" xfId="0" applyFont="1" applyAlignment="1">
      <alignment horizontal="right"/>
    </xf>
    <xf numFmtId="2" fontId="11" fillId="0" borderId="0" xfId="0" applyNumberFormat="1" applyFont="1" applyAlignment="1" quotePrefix="1">
      <alignment/>
    </xf>
    <xf numFmtId="2" fontId="9" fillId="0" borderId="0" xfId="0" applyNumberFormat="1" applyFont="1" applyBorder="1" applyAlignment="1">
      <alignment/>
    </xf>
    <xf numFmtId="0" fontId="39" fillId="0" borderId="0" xfId="0" applyFont="1" applyAlignment="1">
      <alignment horizontal="right"/>
    </xf>
    <xf numFmtId="2" fontId="39" fillId="0" borderId="0" xfId="0" applyNumberFormat="1" applyFont="1" applyAlignment="1">
      <alignment/>
    </xf>
    <xf numFmtId="0" fontId="39" fillId="0" borderId="0" xfId="0" applyFont="1" applyAlignment="1">
      <alignment/>
    </xf>
    <xf numFmtId="192" fontId="9" fillId="0" borderId="0" xfId="0" applyNumberFormat="1" applyFont="1" applyBorder="1" applyAlignment="1">
      <alignment horizontal="left"/>
    </xf>
    <xf numFmtId="2" fontId="24" fillId="0" borderId="0" xfId="0" applyNumberFormat="1" applyFont="1" applyAlignment="1">
      <alignment/>
    </xf>
    <xf numFmtId="0" fontId="24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right"/>
    </xf>
    <xf numFmtId="2" fontId="3" fillId="0" borderId="0" xfId="0" applyNumberFormat="1" applyFont="1" applyAlignment="1">
      <alignment horizontal="right"/>
    </xf>
    <xf numFmtId="192" fontId="2" fillId="0" borderId="0" xfId="0" applyNumberFormat="1" applyFont="1" applyBorder="1" applyAlignment="1" quotePrefix="1">
      <alignment horizontal="left"/>
    </xf>
    <xf numFmtId="0" fontId="2" fillId="0" borderId="0" xfId="0" applyFont="1" applyAlignment="1" quotePrefix="1">
      <alignment/>
    </xf>
    <xf numFmtId="0" fontId="44" fillId="0" borderId="0" xfId="0" applyFont="1" applyAlignment="1">
      <alignment horizontal="right"/>
    </xf>
    <xf numFmtId="0" fontId="44" fillId="0" borderId="0" xfId="0" applyFont="1" applyAlignment="1" quotePrefix="1">
      <alignment/>
    </xf>
    <xf numFmtId="0" fontId="12" fillId="0" borderId="0" xfId="0" applyFont="1" applyAlignment="1">
      <alignment horizontal="center"/>
    </xf>
    <xf numFmtId="2" fontId="11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0" fontId="8" fillId="0" borderId="0" xfId="0" applyFont="1" applyAlignment="1" quotePrefix="1">
      <alignment/>
    </xf>
    <xf numFmtId="0" fontId="9" fillId="0" borderId="0" xfId="0" applyFont="1" applyAlignment="1" quotePrefix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6" fillId="0" borderId="0" xfId="0" applyFont="1" applyAlignment="1">
      <alignment horizontal="right"/>
    </xf>
    <xf numFmtId="2" fontId="46" fillId="0" borderId="0" xfId="0" applyNumberFormat="1" applyFont="1" applyBorder="1" applyAlignment="1">
      <alignment/>
    </xf>
    <xf numFmtId="0" fontId="46" fillId="0" borderId="0" xfId="0" applyFont="1" applyAlignment="1">
      <alignment/>
    </xf>
    <xf numFmtId="2" fontId="46" fillId="0" borderId="0" xfId="0" applyNumberFormat="1" applyFont="1" applyAlignment="1">
      <alignment/>
    </xf>
    <xf numFmtId="2" fontId="46" fillId="0" borderId="0" xfId="0" applyNumberFormat="1" applyFont="1" applyAlignment="1">
      <alignment horizontal="right"/>
    </xf>
    <xf numFmtId="192" fontId="0" fillId="0" borderId="0" xfId="0" applyNumberFormat="1" applyFont="1" applyBorder="1" applyAlignment="1">
      <alignment horizontal="left"/>
    </xf>
    <xf numFmtId="0" fontId="47" fillId="0" borderId="0" xfId="0" applyFont="1" applyAlignment="1">
      <alignment horizontal="right"/>
    </xf>
    <xf numFmtId="0" fontId="47" fillId="0" borderId="0" xfId="0" applyFont="1" applyAlignment="1">
      <alignment/>
    </xf>
    <xf numFmtId="0" fontId="48" fillId="0" borderId="0" xfId="0" applyFont="1" applyAlignment="1">
      <alignment horizontal="right"/>
    </xf>
    <xf numFmtId="0" fontId="48" fillId="0" borderId="0" xfId="0" applyFont="1" applyAlignment="1">
      <alignment/>
    </xf>
    <xf numFmtId="0" fontId="16" fillId="0" borderId="0" xfId="0" applyFont="1" applyAlignment="1">
      <alignment horizontal="left"/>
    </xf>
    <xf numFmtId="0" fontId="49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2" fontId="44" fillId="0" borderId="0" xfId="0" applyNumberFormat="1" applyFont="1" applyAlignment="1">
      <alignment/>
    </xf>
    <xf numFmtId="0" fontId="44" fillId="0" borderId="0" xfId="0" applyFont="1" applyAlignment="1">
      <alignment/>
    </xf>
    <xf numFmtId="0" fontId="4" fillId="0" borderId="0" xfId="0" applyFont="1" applyAlignment="1">
      <alignment horizontal="left"/>
    </xf>
    <xf numFmtId="2" fontId="1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2" fontId="15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2" fontId="0" fillId="0" borderId="10" xfId="0" applyNumberFormat="1" applyFont="1" applyBorder="1" applyAlignment="1">
      <alignment horizontal="right"/>
    </xf>
    <xf numFmtId="2" fontId="6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right"/>
    </xf>
    <xf numFmtId="2" fontId="29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35" fillId="0" borderId="0" xfId="0" applyNumberFormat="1" applyFont="1" applyAlignment="1">
      <alignment horizontal="right"/>
    </xf>
    <xf numFmtId="2" fontId="44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right"/>
    </xf>
    <xf numFmtId="2" fontId="22" fillId="0" borderId="0" xfId="0" applyNumberFormat="1" applyFont="1" applyAlignment="1">
      <alignment horizontal="right"/>
    </xf>
    <xf numFmtId="2" fontId="0" fillId="0" borderId="0" xfId="0" applyNumberFormat="1" applyFont="1" applyAlignment="1" quotePrefix="1">
      <alignment horizontal="right"/>
    </xf>
    <xf numFmtId="0" fontId="15" fillId="0" borderId="11" xfId="0" applyFont="1" applyBorder="1" applyAlignment="1">
      <alignment horizontal="center"/>
    </xf>
    <xf numFmtId="2" fontId="52" fillId="0" borderId="11" xfId="0" applyNumberFormat="1" applyFont="1" applyBorder="1" applyAlignment="1" quotePrefix="1">
      <alignment horizontal="center"/>
    </xf>
    <xf numFmtId="2" fontId="15" fillId="0" borderId="11" xfId="0" applyNumberFormat="1" applyFont="1" applyBorder="1" applyAlignment="1">
      <alignment horizontal="right"/>
    </xf>
    <xf numFmtId="0" fontId="15" fillId="0" borderId="11" xfId="0" applyFont="1" applyBorder="1" applyAlignment="1">
      <alignment horizontal="right"/>
    </xf>
    <xf numFmtId="0" fontId="15" fillId="0" borderId="11" xfId="0" applyFont="1" applyBorder="1" applyAlignment="1">
      <alignment/>
    </xf>
    <xf numFmtId="0" fontId="0" fillId="0" borderId="11" xfId="0" applyBorder="1" applyAlignment="1">
      <alignment/>
    </xf>
    <xf numFmtId="0" fontId="54" fillId="0" borderId="0" xfId="0" applyFont="1" applyAlignment="1">
      <alignment horizontal="right"/>
    </xf>
    <xf numFmtId="0" fontId="54" fillId="0" borderId="0" xfId="0" applyFont="1" applyAlignment="1">
      <alignment/>
    </xf>
    <xf numFmtId="0" fontId="23" fillId="0" borderId="0" xfId="0" applyFont="1" applyAlignment="1">
      <alignment horizontal="right"/>
    </xf>
    <xf numFmtId="2" fontId="22" fillId="0" borderId="0" xfId="0" applyNumberFormat="1" applyFont="1" applyBorder="1" applyAlignment="1">
      <alignment/>
    </xf>
    <xf numFmtId="0" fontId="57" fillId="0" borderId="0" xfId="0" applyFont="1" applyAlignment="1">
      <alignment horizontal="right"/>
    </xf>
    <xf numFmtId="2" fontId="0" fillId="0" borderId="0" xfId="0" applyNumberFormat="1" applyBorder="1" applyAlignment="1">
      <alignment horizontal="right"/>
    </xf>
    <xf numFmtId="0" fontId="65" fillId="0" borderId="0" xfId="0" applyFont="1" applyAlignment="1">
      <alignment horizontal="right"/>
    </xf>
    <xf numFmtId="0" fontId="66" fillId="0" borderId="0" xfId="0" applyFont="1" applyAlignment="1">
      <alignment horizontal="right"/>
    </xf>
    <xf numFmtId="0" fontId="67" fillId="0" borderId="0" xfId="0" applyFont="1" applyAlignment="1" quotePrefix="1">
      <alignment/>
    </xf>
    <xf numFmtId="2" fontId="5" fillId="0" borderId="0" xfId="0" applyNumberFormat="1" applyFont="1" applyBorder="1" applyAlignment="1">
      <alignment/>
    </xf>
    <xf numFmtId="0" fontId="55" fillId="0" borderId="11" xfId="0" applyFont="1" applyBorder="1" applyAlignment="1">
      <alignment horizontal="right"/>
    </xf>
    <xf numFmtId="0" fontId="47" fillId="0" borderId="11" xfId="0" applyFont="1" applyBorder="1" applyAlignment="1">
      <alignment/>
    </xf>
    <xf numFmtId="2" fontId="60" fillId="0" borderId="0" xfId="0" applyNumberFormat="1" applyFont="1" applyAlignment="1">
      <alignment/>
    </xf>
    <xf numFmtId="2" fontId="51" fillId="0" borderId="0" xfId="0" applyNumberFormat="1" applyFont="1" applyAlignment="1">
      <alignment/>
    </xf>
    <xf numFmtId="2" fontId="61" fillId="0" borderId="0" xfId="0" applyNumberFormat="1" applyFont="1" applyAlignment="1">
      <alignment/>
    </xf>
    <xf numFmtId="2" fontId="53" fillId="0" borderId="0" xfId="0" applyNumberFormat="1" applyFont="1" applyAlignment="1">
      <alignment/>
    </xf>
    <xf numFmtId="0" fontId="69" fillId="0" borderId="0" xfId="0" applyFont="1" applyAlignment="1">
      <alignment/>
    </xf>
    <xf numFmtId="2" fontId="0" fillId="0" borderId="0" xfId="0" applyNumberFormat="1" applyAlignment="1" quotePrefix="1">
      <alignment/>
    </xf>
    <xf numFmtId="2" fontId="0" fillId="0" borderId="0" xfId="0" applyNumberFormat="1" applyFont="1" applyAlignment="1" quotePrefix="1">
      <alignment/>
    </xf>
    <xf numFmtId="2" fontId="44" fillId="0" borderId="0" xfId="0" applyNumberFormat="1" applyFont="1" applyBorder="1" applyAlignment="1">
      <alignment/>
    </xf>
    <xf numFmtId="2" fontId="42" fillId="0" borderId="0" xfId="0" applyNumberFormat="1" applyFont="1" applyAlignment="1">
      <alignment horizontal="right"/>
    </xf>
    <xf numFmtId="0" fontId="11" fillId="0" borderId="0" xfId="0" applyFont="1" applyAlignment="1" quotePrefix="1">
      <alignment horizontal="right"/>
    </xf>
    <xf numFmtId="192" fontId="1" fillId="0" borderId="11" xfId="0" applyNumberFormat="1" applyFont="1" applyBorder="1" applyAlignment="1">
      <alignment horizontal="center"/>
    </xf>
    <xf numFmtId="192" fontId="0" fillId="0" borderId="0" xfId="0" applyNumberFormat="1" applyAlignment="1">
      <alignment horizontal="center"/>
    </xf>
    <xf numFmtId="192" fontId="0" fillId="0" borderId="0" xfId="0" applyNumberForma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0" fontId="52" fillId="0" borderId="0" xfId="0" applyFont="1" applyAlignment="1">
      <alignment horizontal="right"/>
    </xf>
    <xf numFmtId="0" fontId="62" fillId="0" borderId="0" xfId="0" applyFont="1" applyAlignment="1">
      <alignment horizontal="right"/>
    </xf>
    <xf numFmtId="0" fontId="5" fillId="0" borderId="0" xfId="0" applyFont="1" applyAlignment="1" quotePrefix="1">
      <alignment horizontal="right"/>
    </xf>
    <xf numFmtId="0" fontId="53" fillId="0" borderId="0" xfId="0" applyFont="1" applyAlignment="1">
      <alignment horizontal="right"/>
    </xf>
    <xf numFmtId="0" fontId="53" fillId="0" borderId="0" xfId="0" applyFont="1" applyAlignment="1">
      <alignment/>
    </xf>
    <xf numFmtId="0" fontId="12" fillId="0" borderId="0" xfId="0" applyFont="1" applyAlignment="1" quotePrefix="1">
      <alignment horizontal="right"/>
    </xf>
    <xf numFmtId="0" fontId="8" fillId="0" borderId="0" xfId="0" applyFont="1" applyAlignment="1" quotePrefix="1">
      <alignment horizontal="right"/>
    </xf>
    <xf numFmtId="0" fontId="83" fillId="0" borderId="0" xfId="0" applyFont="1" applyAlignment="1">
      <alignment horizontal="right"/>
    </xf>
    <xf numFmtId="0" fontId="19" fillId="0" borderId="0" xfId="0" applyFont="1" applyAlignment="1" quotePrefix="1">
      <alignment horizontal="right"/>
    </xf>
    <xf numFmtId="0" fontId="20" fillId="0" borderId="0" xfId="0" applyFont="1" applyAlignment="1">
      <alignment horizontal="right"/>
    </xf>
    <xf numFmtId="0" fontId="5" fillId="0" borderId="0" xfId="0" applyFont="1" applyAlignment="1" quotePrefix="1">
      <alignment/>
    </xf>
    <xf numFmtId="192" fontId="8" fillId="0" borderId="0" xfId="0" applyNumberFormat="1" applyFont="1" applyBorder="1" applyAlignment="1" quotePrefix="1">
      <alignment horizontal="left"/>
    </xf>
    <xf numFmtId="0" fontId="6" fillId="0" borderId="0" xfId="0" applyFont="1" applyAlignment="1">
      <alignment horizontal="left"/>
    </xf>
    <xf numFmtId="0" fontId="51" fillId="0" borderId="0" xfId="0" applyFont="1" applyAlignment="1">
      <alignment horizontal="right"/>
    </xf>
    <xf numFmtId="0" fontId="51" fillId="0" borderId="0" xfId="0" applyFont="1" applyAlignment="1">
      <alignment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192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9" fillId="0" borderId="0" xfId="0" applyFont="1" applyAlignment="1">
      <alignment/>
    </xf>
    <xf numFmtId="0" fontId="15" fillId="0" borderId="0" xfId="0" applyFont="1" applyAlignment="1" quotePrefix="1">
      <alignment horizontal="right"/>
    </xf>
    <xf numFmtId="0" fontId="0" fillId="0" borderId="12" xfId="0" applyBorder="1" applyAlignment="1">
      <alignment/>
    </xf>
    <xf numFmtId="0" fontId="14" fillId="0" borderId="10" xfId="0" applyFont="1" applyBorder="1" applyAlignment="1">
      <alignment horizontal="right"/>
    </xf>
    <xf numFmtId="1" fontId="11" fillId="0" borderId="0" xfId="0" applyNumberFormat="1" applyFont="1" applyAlignment="1">
      <alignment/>
    </xf>
    <xf numFmtId="0" fontId="15" fillId="0" borderId="0" xfId="0" applyFont="1" applyBorder="1" applyAlignment="1">
      <alignment horizontal="center"/>
    </xf>
    <xf numFmtId="2" fontId="52" fillId="0" borderId="0" xfId="0" applyNumberFormat="1" applyFont="1" applyBorder="1" applyAlignment="1" quotePrefix="1">
      <alignment horizontal="center"/>
    </xf>
    <xf numFmtId="2" fontId="15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/>
    </xf>
    <xf numFmtId="192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87" fillId="0" borderId="0" xfId="0" applyNumberFormat="1" applyFont="1" applyAlignment="1">
      <alignment/>
    </xf>
    <xf numFmtId="0" fontId="55" fillId="0" borderId="0" xfId="0" applyFont="1" applyAlignment="1">
      <alignment horizontal="right"/>
    </xf>
    <xf numFmtId="0" fontId="55" fillId="0" borderId="0" xfId="0" applyFont="1" applyAlignment="1">
      <alignment/>
    </xf>
    <xf numFmtId="0" fontId="88" fillId="0" borderId="11" xfId="0" applyFont="1" applyBorder="1" applyAlignment="1">
      <alignment/>
    </xf>
    <xf numFmtId="0" fontId="88" fillId="0" borderId="0" xfId="0" applyFont="1" applyAlignment="1">
      <alignment/>
    </xf>
    <xf numFmtId="0" fontId="56" fillId="0" borderId="0" xfId="0" applyFont="1" applyAlignment="1">
      <alignment horizontal="right"/>
    </xf>
    <xf numFmtId="2" fontId="56" fillId="0" borderId="0" xfId="0" applyNumberFormat="1" applyFont="1" applyAlignment="1">
      <alignment horizontal="left"/>
    </xf>
    <xf numFmtId="0" fontId="89" fillId="0" borderId="11" xfId="0" applyFont="1" applyBorder="1" applyAlignment="1">
      <alignment horizontal="right"/>
    </xf>
    <xf numFmtId="2" fontId="89" fillId="0" borderId="11" xfId="0" applyNumberFormat="1" applyFont="1" applyBorder="1" applyAlignment="1">
      <alignment horizontal="left"/>
    </xf>
    <xf numFmtId="0" fontId="41" fillId="0" borderId="0" xfId="0" applyFont="1" applyAlignment="1">
      <alignment horizontal="right"/>
    </xf>
    <xf numFmtId="0" fontId="2" fillId="0" borderId="10" xfId="0" applyFont="1" applyBorder="1" applyAlignment="1" quotePrefix="1">
      <alignment horizontal="left"/>
    </xf>
    <xf numFmtId="0" fontId="3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192" fontId="2" fillId="0" borderId="10" xfId="0" applyNumberFormat="1" applyFont="1" applyBorder="1" applyAlignment="1">
      <alignment horizontal="left"/>
    </xf>
    <xf numFmtId="0" fontId="0" fillId="0" borderId="13" xfId="0" applyBorder="1" applyAlignment="1">
      <alignment horizontal="center"/>
    </xf>
    <xf numFmtId="2" fontId="15" fillId="0" borderId="1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0" fontId="16" fillId="0" borderId="0" xfId="0" applyFont="1" applyAlignment="1" quotePrefix="1">
      <alignment/>
    </xf>
    <xf numFmtId="0" fontId="8" fillId="0" borderId="10" xfId="0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/>
    </xf>
    <xf numFmtId="0" fontId="12" fillId="0" borderId="0" xfId="0" applyFont="1" applyAlignment="1">
      <alignment horizontal="left"/>
    </xf>
    <xf numFmtId="0" fontId="95" fillId="0" borderId="0" xfId="0" applyFont="1" applyAlignment="1">
      <alignment horizontal="right"/>
    </xf>
    <xf numFmtId="0" fontId="95" fillId="0" borderId="0" xfId="0" applyFont="1" applyAlignment="1">
      <alignment/>
    </xf>
    <xf numFmtId="0" fontId="96" fillId="0" borderId="0" xfId="0" applyFont="1" applyAlignment="1">
      <alignment horizontal="right"/>
    </xf>
    <xf numFmtId="2" fontId="2" fillId="0" borderId="0" xfId="0" applyNumberFormat="1" applyFont="1" applyAlignment="1">
      <alignment horizontal="center"/>
    </xf>
    <xf numFmtId="0" fontId="70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99" fillId="0" borderId="0" xfId="0" applyFont="1" applyAlignment="1">
      <alignment horizontal="right"/>
    </xf>
    <xf numFmtId="0" fontId="100" fillId="0" borderId="0" xfId="0" applyFont="1" applyAlignment="1">
      <alignment horizontal="right"/>
    </xf>
    <xf numFmtId="0" fontId="18" fillId="0" borderId="0" xfId="0" applyFont="1" applyAlignment="1" quotePrefix="1">
      <alignment/>
    </xf>
    <xf numFmtId="0" fontId="1" fillId="0" borderId="0" xfId="0" applyFont="1" applyAlignment="1">
      <alignment horizontal="left"/>
    </xf>
    <xf numFmtId="0" fontId="101" fillId="0" borderId="0" xfId="0" applyFont="1" applyAlignment="1">
      <alignment horizontal="right"/>
    </xf>
    <xf numFmtId="2" fontId="102" fillId="0" borderId="0" xfId="0" applyNumberFormat="1" applyFont="1" applyAlignment="1">
      <alignment horizontal="right"/>
    </xf>
    <xf numFmtId="0" fontId="102" fillId="0" borderId="0" xfId="0" applyFont="1" applyAlignment="1">
      <alignment/>
    </xf>
    <xf numFmtId="2" fontId="102" fillId="0" borderId="0" xfId="0" applyNumberFormat="1" applyFont="1" applyAlignment="1">
      <alignment/>
    </xf>
    <xf numFmtId="192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92" fontId="18" fillId="0" borderId="0" xfId="0" applyNumberFormat="1" applyFont="1" applyBorder="1" applyAlignment="1" quotePrefix="1">
      <alignment horizontal="left"/>
    </xf>
    <xf numFmtId="2" fontId="25" fillId="0" borderId="0" xfId="0" applyNumberFormat="1" applyFont="1" applyAlignment="1">
      <alignment/>
    </xf>
    <xf numFmtId="0" fontId="93" fillId="0" borderId="0" xfId="0" applyFont="1" applyAlignment="1">
      <alignment horizontal="right"/>
    </xf>
    <xf numFmtId="192" fontId="1" fillId="0" borderId="0" xfId="0" applyNumberFormat="1" applyFont="1" applyAlignment="1">
      <alignment horizontal="center"/>
    </xf>
    <xf numFmtId="192" fontId="93" fillId="0" borderId="0" xfId="0" applyNumberFormat="1" applyFont="1" applyAlignment="1">
      <alignment horizontal="center"/>
    </xf>
    <xf numFmtId="0" fontId="50" fillId="0" borderId="0" xfId="0" applyFont="1" applyAlignment="1">
      <alignment horizontal="right"/>
    </xf>
    <xf numFmtId="0" fontId="85" fillId="0" borderId="0" xfId="0" applyFont="1" applyAlignment="1">
      <alignment horizontal="right"/>
    </xf>
    <xf numFmtId="2" fontId="16" fillId="0" borderId="0" xfId="0" applyNumberFormat="1" applyFont="1" applyAlignment="1">
      <alignment horizontal="right"/>
    </xf>
    <xf numFmtId="1" fontId="9" fillId="0" borderId="0" xfId="0" applyNumberFormat="1" applyFont="1" applyAlignment="1">
      <alignment horizontal="center"/>
    </xf>
    <xf numFmtId="0" fontId="59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92" fontId="0" fillId="33" borderId="0" xfId="0" applyNumberFormat="1" applyFill="1" applyAlignment="1">
      <alignment horizontal="center"/>
    </xf>
    <xf numFmtId="0" fontId="15" fillId="0" borderId="0" xfId="0" applyFont="1" applyAlignment="1">
      <alignment/>
    </xf>
    <xf numFmtId="0" fontId="50" fillId="0" borderId="0" xfId="0" applyFont="1" applyAlignment="1">
      <alignment/>
    </xf>
    <xf numFmtId="0" fontId="33" fillId="0" borderId="0" xfId="0" applyFont="1" applyAlignment="1">
      <alignment/>
    </xf>
    <xf numFmtId="0" fontId="32" fillId="0" borderId="0" xfId="0" applyFont="1" applyAlignment="1">
      <alignment/>
    </xf>
    <xf numFmtId="0" fontId="98" fillId="0" borderId="0" xfId="0" applyFont="1" applyAlignment="1">
      <alignment/>
    </xf>
    <xf numFmtId="0" fontId="31" fillId="0" borderId="0" xfId="0" applyFont="1" applyAlignment="1">
      <alignment/>
    </xf>
    <xf numFmtId="0" fontId="66" fillId="0" borderId="0" xfId="0" applyFont="1" applyAlignment="1">
      <alignment/>
    </xf>
    <xf numFmtId="0" fontId="98" fillId="0" borderId="0" xfId="0" applyFont="1" applyAlignment="1">
      <alignment horizontal="right"/>
    </xf>
    <xf numFmtId="0" fontId="25" fillId="0" borderId="0" xfId="0" applyFont="1" applyAlignment="1">
      <alignment/>
    </xf>
    <xf numFmtId="0" fontId="0" fillId="0" borderId="0" xfId="0" applyBorder="1" applyAlignment="1">
      <alignment horizontal="right"/>
    </xf>
    <xf numFmtId="0" fontId="116" fillId="0" borderId="0" xfId="0" applyFont="1" applyAlignment="1">
      <alignment horizontal="right"/>
    </xf>
    <xf numFmtId="0" fontId="13" fillId="0" borderId="10" xfId="0" applyFont="1" applyBorder="1" applyAlignment="1">
      <alignment horizontal="right"/>
    </xf>
    <xf numFmtId="0" fontId="0" fillId="0" borderId="0" xfId="0" applyFont="1" applyAlignment="1" quotePrefix="1">
      <alignment horizontal="right"/>
    </xf>
    <xf numFmtId="2" fontId="1" fillId="0" borderId="0" xfId="0" applyNumberFormat="1" applyFont="1" applyBorder="1" applyAlignment="1" quotePrefix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 quotePrefix="1">
      <alignment horizontal="left"/>
    </xf>
    <xf numFmtId="1" fontId="122" fillId="0" borderId="0" xfId="0" applyNumberFormat="1" applyFont="1" applyBorder="1" applyAlignment="1">
      <alignment horizontal="center"/>
    </xf>
    <xf numFmtId="0" fontId="127" fillId="0" borderId="0" xfId="0" applyFont="1" applyAlignment="1">
      <alignment/>
    </xf>
    <xf numFmtId="0" fontId="13" fillId="0" borderId="0" xfId="0" applyFont="1" applyAlignment="1" quotePrefix="1">
      <alignment/>
    </xf>
    <xf numFmtId="0" fontId="124" fillId="0" borderId="0" xfId="0" applyFont="1" applyAlignment="1">
      <alignment/>
    </xf>
    <xf numFmtId="0" fontId="56" fillId="0" borderId="0" xfId="0" applyFont="1" applyAlignment="1">
      <alignment/>
    </xf>
    <xf numFmtId="0" fontId="9" fillId="0" borderId="0" xfId="0" applyFont="1" applyAlignment="1">
      <alignment horizontal="right"/>
    </xf>
    <xf numFmtId="2" fontId="9" fillId="0" borderId="0" xfId="0" applyNumberFormat="1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192" fontId="0" fillId="0" borderId="0" xfId="0" applyNumberFormat="1" applyAlignment="1" quotePrefix="1">
      <alignment horizontal="center"/>
    </xf>
    <xf numFmtId="192" fontId="12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right"/>
    </xf>
    <xf numFmtId="2" fontId="12" fillId="0" borderId="0" xfId="0" applyNumberFormat="1" applyFont="1" applyAlignment="1">
      <alignment/>
    </xf>
    <xf numFmtId="0" fontId="12" fillId="0" borderId="0" xfId="0" applyFont="1" applyAlignment="1">
      <alignment horizontal="right"/>
    </xf>
    <xf numFmtId="1" fontId="0" fillId="0" borderId="0" xfId="0" applyNumberFormat="1" applyAlignment="1" quotePrefix="1">
      <alignment horizontal="center"/>
    </xf>
    <xf numFmtId="0" fontId="88" fillId="0" borderId="0" xfId="0" applyFont="1" applyAlignment="1">
      <alignment/>
    </xf>
    <xf numFmtId="0" fontId="131" fillId="0" borderId="0" xfId="47" applyFont="1" applyAlignment="1" applyProtection="1">
      <alignment/>
      <protection/>
    </xf>
    <xf numFmtId="2" fontId="2" fillId="0" borderId="10" xfId="0" applyNumberFormat="1" applyFont="1" applyBorder="1" applyAlignment="1">
      <alignment horizontal="right"/>
    </xf>
    <xf numFmtId="0" fontId="6" fillId="0" borderId="0" xfId="0" applyFont="1" applyAlignment="1" quotePrefix="1">
      <alignment/>
    </xf>
    <xf numFmtId="0" fontId="11" fillId="0" borderId="0" xfId="0" applyFont="1" applyAlignment="1">
      <alignment horizontal="right"/>
    </xf>
    <xf numFmtId="2" fontId="11" fillId="0" borderId="0" xfId="0" applyNumberFormat="1" applyFont="1" applyAlignment="1">
      <alignment horizontal="right"/>
    </xf>
    <xf numFmtId="2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2" fontId="13" fillId="0" borderId="0" xfId="0" applyNumberFormat="1" applyFont="1" applyAlignment="1">
      <alignment/>
    </xf>
    <xf numFmtId="2" fontId="13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34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2" fillId="0" borderId="0" xfId="0" applyFont="1" applyBorder="1" applyAlignment="1">
      <alignment horizontal="right"/>
    </xf>
    <xf numFmtId="0" fontId="135" fillId="0" borderId="0" xfId="0" applyFont="1" applyAlignment="1">
      <alignment horizontal="right"/>
    </xf>
    <xf numFmtId="2" fontId="135" fillId="0" borderId="0" xfId="0" applyNumberFormat="1" applyFont="1" applyAlignment="1">
      <alignment horizontal="right"/>
    </xf>
    <xf numFmtId="2" fontId="135" fillId="0" borderId="0" xfId="0" applyNumberFormat="1" applyFont="1" applyAlignment="1">
      <alignment/>
    </xf>
    <xf numFmtId="0" fontId="135" fillId="0" borderId="0" xfId="0" applyFont="1" applyAlignment="1">
      <alignment/>
    </xf>
    <xf numFmtId="0" fontId="6" fillId="0" borderId="0" xfId="0" applyFont="1" applyAlignment="1">
      <alignment horizontal="center"/>
    </xf>
    <xf numFmtId="2" fontId="8" fillId="0" borderId="0" xfId="0" applyNumberFormat="1" applyFont="1" applyAlignment="1" quotePrefix="1">
      <alignment/>
    </xf>
    <xf numFmtId="2" fontId="19" fillId="0" borderId="0" xfId="0" applyNumberFormat="1" applyFont="1" applyAlignment="1">
      <alignment horizontal="right"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2" fontId="11" fillId="0" borderId="0" xfId="0" applyNumberFormat="1" applyFont="1" applyAlignment="1" quotePrefix="1">
      <alignment horizontal="center"/>
    </xf>
    <xf numFmtId="0" fontId="5" fillId="0" borderId="0" xfId="0" applyFont="1" applyAlignment="1">
      <alignment horizontal="right"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113" fillId="0" borderId="0" xfId="0" applyFont="1" applyAlignment="1">
      <alignment horizontal="right"/>
    </xf>
    <xf numFmtId="192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192" fontId="0" fillId="34" borderId="0" xfId="0" applyNumberFormat="1" applyFill="1" applyAlignment="1">
      <alignment horizontal="center"/>
    </xf>
    <xf numFmtId="192" fontId="0" fillId="35" borderId="0" xfId="0" applyNumberFormat="1" applyFill="1" applyAlignment="1">
      <alignment horizontal="center"/>
    </xf>
    <xf numFmtId="2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right"/>
    </xf>
    <xf numFmtId="0" fontId="148" fillId="0" borderId="0" xfId="0" applyFont="1" applyAlignment="1">
      <alignment horizontal="right"/>
    </xf>
    <xf numFmtId="0" fontId="130" fillId="0" borderId="0" xfId="0" applyFont="1" applyAlignment="1">
      <alignment/>
    </xf>
    <xf numFmtId="0" fontId="149" fillId="0" borderId="0" xfId="0" applyFont="1" applyAlignment="1">
      <alignment horizontal="right"/>
    </xf>
    <xf numFmtId="0" fontId="149" fillId="0" borderId="0" xfId="0" applyFont="1" applyAlignment="1">
      <alignment/>
    </xf>
    <xf numFmtId="0" fontId="47" fillId="0" borderId="0" xfId="0" applyFont="1" applyAlignment="1" quotePrefix="1">
      <alignment/>
    </xf>
    <xf numFmtId="0" fontId="31" fillId="0" borderId="11" xfId="0" applyFont="1" applyBorder="1" applyAlignment="1">
      <alignment horizontal="right"/>
    </xf>
    <xf numFmtId="2" fontId="74" fillId="0" borderId="0" xfId="0" applyNumberFormat="1" applyFont="1" applyAlignment="1">
      <alignment horizontal="right"/>
    </xf>
    <xf numFmtId="2" fontId="151" fillId="0" borderId="0" xfId="0" applyNumberFormat="1" applyFont="1" applyAlignment="1">
      <alignment horizontal="center"/>
    </xf>
    <xf numFmtId="192" fontId="151" fillId="0" borderId="0" xfId="0" applyNumberFormat="1" applyFont="1" applyAlignment="1">
      <alignment horizontal="center"/>
    </xf>
    <xf numFmtId="0" fontId="2" fillId="34" borderId="0" xfId="0" applyFont="1" applyFill="1" applyAlignment="1" quotePrefix="1">
      <alignment/>
    </xf>
    <xf numFmtId="0" fontId="9" fillId="0" borderId="10" xfId="0" applyFont="1" applyBorder="1" applyAlignment="1">
      <alignment horizontal="right"/>
    </xf>
    <xf numFmtId="2" fontId="9" fillId="0" borderId="10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Alignment="1" quotePrefix="1">
      <alignment/>
    </xf>
    <xf numFmtId="9" fontId="37" fillId="0" borderId="0" xfId="51" applyFont="1" applyAlignment="1">
      <alignment/>
    </xf>
    <xf numFmtId="9" fontId="37" fillId="0" borderId="0" xfId="51" applyFont="1" applyAlignment="1">
      <alignment horizontal="right"/>
    </xf>
    <xf numFmtId="9" fontId="0" fillId="0" borderId="0" xfId="51" applyFont="1" applyAlignment="1">
      <alignment/>
    </xf>
    <xf numFmtId="9" fontId="72" fillId="0" borderId="0" xfId="51" applyFont="1" applyAlignment="1">
      <alignment horizontal="right"/>
    </xf>
    <xf numFmtId="9" fontId="72" fillId="0" borderId="0" xfId="51" applyFont="1" applyAlignment="1">
      <alignment/>
    </xf>
    <xf numFmtId="0" fontId="99" fillId="0" borderId="0" xfId="0" applyFont="1" applyAlignment="1">
      <alignment/>
    </xf>
    <xf numFmtId="0" fontId="161" fillId="0" borderId="0" xfId="0" applyFont="1" applyAlignment="1">
      <alignment horizontal="right"/>
    </xf>
    <xf numFmtId="1" fontId="6" fillId="0" borderId="0" xfId="0" applyNumberFormat="1" applyFont="1" applyAlignment="1">
      <alignment horizontal="center"/>
    </xf>
    <xf numFmtId="192" fontId="6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9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92" fontId="2" fillId="0" borderId="0" xfId="0" applyNumberFormat="1" applyFont="1" applyBorder="1" applyAlignment="1">
      <alignment horizontal="left"/>
    </xf>
    <xf numFmtId="192" fontId="0" fillId="0" borderId="0" xfId="0" applyNumberFormat="1" applyFont="1" applyAlignment="1" quotePrefix="1">
      <alignment horizontal="center"/>
    </xf>
    <xf numFmtId="0" fontId="8" fillId="0" borderId="0" xfId="0" applyFont="1" applyAlignment="1">
      <alignment horizontal="right"/>
    </xf>
    <xf numFmtId="2" fontId="8" fillId="0" borderId="0" xfId="0" applyNumberFormat="1" applyFont="1" applyAlignment="1">
      <alignment/>
    </xf>
    <xf numFmtId="192" fontId="93" fillId="0" borderId="0" xfId="0" applyNumberFormat="1" applyFont="1" applyAlignment="1">
      <alignment horizontal="center"/>
    </xf>
    <xf numFmtId="192" fontId="93" fillId="0" borderId="0" xfId="0" applyNumberFormat="1" applyFont="1" applyAlignment="1" quotePrefix="1">
      <alignment horizontal="center"/>
    </xf>
    <xf numFmtId="2" fontId="0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right"/>
    </xf>
    <xf numFmtId="0" fontId="42" fillId="0" borderId="0" xfId="0" applyFont="1" applyAlignment="1">
      <alignment horizontal="right"/>
    </xf>
    <xf numFmtId="2" fontId="5" fillId="0" borderId="0" xfId="0" applyNumberFormat="1" applyFont="1" applyAlignment="1">
      <alignment horizontal="right"/>
    </xf>
    <xf numFmtId="0" fontId="2" fillId="0" borderId="0" xfId="0" applyFont="1" applyAlignment="1" quotePrefix="1">
      <alignment horizontal="right"/>
    </xf>
    <xf numFmtId="2" fontId="44" fillId="0" borderId="0" xfId="0" applyNumberFormat="1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 quotePrefix="1">
      <alignment/>
    </xf>
    <xf numFmtId="2" fontId="8" fillId="0" borderId="0" xfId="0" applyNumberFormat="1" applyFont="1" applyAlignment="1" quotePrefix="1">
      <alignment/>
    </xf>
    <xf numFmtId="0" fontId="45" fillId="0" borderId="0" xfId="0" applyFont="1" applyBorder="1" applyAlignment="1">
      <alignment horizontal="right"/>
    </xf>
    <xf numFmtId="2" fontId="45" fillId="0" borderId="0" xfId="0" applyNumberFormat="1" applyFont="1" applyBorder="1" applyAlignment="1">
      <alignment/>
    </xf>
    <xf numFmtId="0" fontId="44" fillId="0" borderId="0" xfId="0" applyFont="1" applyBorder="1" applyAlignment="1">
      <alignment/>
    </xf>
    <xf numFmtId="0" fontId="40" fillId="0" borderId="0" xfId="0" applyFont="1" applyAlignment="1">
      <alignment horizontal="right"/>
    </xf>
    <xf numFmtId="0" fontId="23" fillId="0" borderId="0" xfId="0" applyFont="1" applyAlignment="1" quotePrefix="1">
      <alignment horizontal="right"/>
    </xf>
    <xf numFmtId="0" fontId="163" fillId="0" borderId="0" xfId="0" applyFont="1" applyAlignment="1">
      <alignment horizontal="right"/>
    </xf>
    <xf numFmtId="192" fontId="12" fillId="0" borderId="0" xfId="0" applyNumberFormat="1" applyFont="1" applyBorder="1" applyAlignment="1">
      <alignment horizontal="left"/>
    </xf>
    <xf numFmtId="2" fontId="23" fillId="0" borderId="0" xfId="0" applyNumberFormat="1" applyFont="1" applyAlignment="1">
      <alignment/>
    </xf>
    <xf numFmtId="0" fontId="23" fillId="0" borderId="0" xfId="0" applyFont="1" applyAlignment="1">
      <alignment/>
    </xf>
    <xf numFmtId="192" fontId="23" fillId="0" borderId="0" xfId="0" applyNumberFormat="1" applyFont="1" applyBorder="1" applyAlignment="1" quotePrefix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 quotePrefix="1">
      <alignment/>
    </xf>
    <xf numFmtId="0" fontId="143" fillId="0" borderId="0" xfId="0" applyFont="1" applyAlignment="1">
      <alignment horizontal="right"/>
    </xf>
    <xf numFmtId="0" fontId="164" fillId="0" borderId="0" xfId="0" applyFont="1" applyAlignment="1">
      <alignment horizontal="right"/>
    </xf>
    <xf numFmtId="0" fontId="93" fillId="0" borderId="0" xfId="0" applyFont="1" applyAlignment="1" quotePrefix="1">
      <alignment/>
    </xf>
    <xf numFmtId="0" fontId="12" fillId="0" borderId="0" xfId="0" applyFont="1" applyFill="1" applyBorder="1" applyAlignment="1">
      <alignment/>
    </xf>
    <xf numFmtId="2" fontId="9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2" fontId="18" fillId="0" borderId="0" xfId="0" applyNumberFormat="1" applyFont="1" applyBorder="1" applyAlignment="1">
      <alignment/>
    </xf>
    <xf numFmtId="2" fontId="6" fillId="0" borderId="0" xfId="0" applyNumberFormat="1" applyFont="1" applyAlignment="1" quotePrefix="1">
      <alignment horizontal="right"/>
    </xf>
    <xf numFmtId="0" fontId="24" fillId="0" borderId="0" xfId="0" applyFont="1" applyAlignment="1">
      <alignment horizontal="right"/>
    </xf>
    <xf numFmtId="0" fontId="44" fillId="0" borderId="0" xfId="0" applyFont="1" applyAlignment="1">
      <alignment horizontal="right"/>
    </xf>
    <xf numFmtId="2" fontId="44" fillId="0" borderId="0" xfId="0" applyNumberFormat="1" applyFont="1" applyAlignment="1">
      <alignment horizontal="right"/>
    </xf>
    <xf numFmtId="0" fontId="165" fillId="0" borderId="0" xfId="0" applyFont="1" applyAlignment="1">
      <alignment horizontal="right"/>
    </xf>
    <xf numFmtId="2" fontId="102" fillId="0" borderId="0" xfId="0" applyNumberFormat="1" applyFont="1" applyAlignment="1">
      <alignment horizontal="right"/>
    </xf>
    <xf numFmtId="2" fontId="102" fillId="0" borderId="0" xfId="0" applyNumberFormat="1" applyFont="1" applyAlignment="1">
      <alignment/>
    </xf>
    <xf numFmtId="0" fontId="102" fillId="0" borderId="0" xfId="0" applyFont="1" applyAlignment="1">
      <alignment/>
    </xf>
    <xf numFmtId="2" fontId="8" fillId="0" borderId="0" xfId="0" applyNumberFormat="1" applyFont="1" applyAlignment="1">
      <alignment horizontal="right"/>
    </xf>
    <xf numFmtId="0" fontId="93" fillId="0" borderId="0" xfId="0" applyFont="1" applyAlignment="1">
      <alignment/>
    </xf>
    <xf numFmtId="19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12" fillId="0" borderId="0" xfId="0" applyFont="1" applyAlignment="1" quotePrefix="1">
      <alignment/>
    </xf>
    <xf numFmtId="0" fontId="35" fillId="0" borderId="0" xfId="0" applyFont="1" applyAlignment="1">
      <alignment horizontal="right"/>
    </xf>
    <xf numFmtId="0" fontId="15" fillId="0" borderId="10" xfId="0" applyFont="1" applyBorder="1" applyAlignment="1">
      <alignment horizontal="right"/>
    </xf>
    <xf numFmtId="0" fontId="49" fillId="0" borderId="10" xfId="0" applyFont="1" applyBorder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67" fillId="0" borderId="0" xfId="0" applyFont="1" applyAlignment="1">
      <alignment horizontal="right"/>
    </xf>
    <xf numFmtId="2" fontId="167" fillId="0" borderId="0" xfId="0" applyNumberFormat="1" applyFont="1" applyAlignment="1">
      <alignment horizontal="right"/>
    </xf>
    <xf numFmtId="2" fontId="167" fillId="0" borderId="0" xfId="0" applyNumberFormat="1" applyFont="1" applyAlignment="1">
      <alignment/>
    </xf>
    <xf numFmtId="0" fontId="167" fillId="0" borderId="0" xfId="0" applyFont="1" applyAlignment="1">
      <alignment/>
    </xf>
    <xf numFmtId="0" fontId="8" fillId="0" borderId="0" xfId="0" applyFont="1" applyBorder="1" applyAlignment="1">
      <alignment horizontal="right"/>
    </xf>
    <xf numFmtId="1" fontId="8" fillId="0" borderId="0" xfId="0" applyNumberFormat="1" applyFont="1" applyAlignment="1">
      <alignment/>
    </xf>
    <xf numFmtId="0" fontId="13" fillId="0" borderId="10" xfId="0" applyFont="1" applyBorder="1" applyAlignment="1">
      <alignment horizontal="right"/>
    </xf>
    <xf numFmtId="1" fontId="13" fillId="0" borderId="0" xfId="0" applyNumberFormat="1" applyFont="1" applyAlignment="1">
      <alignment/>
    </xf>
    <xf numFmtId="2" fontId="8" fillId="36" borderId="0" xfId="0" applyNumberFormat="1" applyFont="1" applyFill="1" applyAlignment="1">
      <alignment horizontal="right"/>
    </xf>
    <xf numFmtId="2" fontId="0" fillId="36" borderId="0" xfId="0" applyNumberFormat="1" applyFill="1" applyAlignment="1">
      <alignment horizontal="right"/>
    </xf>
    <xf numFmtId="0" fontId="0" fillId="36" borderId="0" xfId="0" applyFill="1" applyAlignment="1">
      <alignment/>
    </xf>
    <xf numFmtId="2" fontId="1" fillId="0" borderId="0" xfId="0" applyNumberFormat="1" applyFont="1" applyAlignment="1" quotePrefix="1">
      <alignment/>
    </xf>
    <xf numFmtId="0" fontId="1" fillId="0" borderId="0" xfId="0" applyFont="1" applyFill="1" applyBorder="1" applyAlignment="1">
      <alignment/>
    </xf>
    <xf numFmtId="1" fontId="1" fillId="0" borderId="0" xfId="0" applyNumberFormat="1" applyFont="1" applyAlignment="1">
      <alignment/>
    </xf>
    <xf numFmtId="0" fontId="63" fillId="0" borderId="0" xfId="0" applyFont="1" applyAlignment="1">
      <alignment/>
    </xf>
    <xf numFmtId="2" fontId="171" fillId="0" borderId="0" xfId="0" applyNumberFormat="1" applyFont="1" applyAlignment="1">
      <alignment horizontal="right"/>
    </xf>
    <xf numFmtId="2" fontId="73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51" fillId="0" borderId="0" xfId="0" applyFont="1" applyAlignment="1">
      <alignment horizontal="right"/>
    </xf>
    <xf numFmtId="0" fontId="5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8" fillId="0" borderId="0" xfId="0" applyFont="1" applyAlignment="1">
      <alignment horizontal="right"/>
    </xf>
    <xf numFmtId="0" fontId="48" fillId="0" borderId="0" xfId="0" applyFont="1" applyAlignment="1">
      <alignment/>
    </xf>
    <xf numFmtId="0" fontId="14" fillId="0" borderId="0" xfId="0" applyFont="1" applyAlignment="1">
      <alignment horizontal="center"/>
    </xf>
    <xf numFmtId="0" fontId="148" fillId="0" borderId="0" xfId="0" applyFont="1" applyAlignment="1">
      <alignment/>
    </xf>
    <xf numFmtId="0" fontId="172" fillId="0" borderId="0" xfId="0" applyFont="1" applyAlignment="1">
      <alignment horizontal="right"/>
    </xf>
    <xf numFmtId="0" fontId="173" fillId="0" borderId="0" xfId="0" applyFont="1" applyAlignment="1">
      <alignment horizontal="right"/>
    </xf>
    <xf numFmtId="0" fontId="174" fillId="0" borderId="0" xfId="0" applyFont="1" applyAlignment="1">
      <alignment horizontal="center"/>
    </xf>
    <xf numFmtId="0" fontId="175" fillId="0" borderId="0" xfId="47" applyFont="1" applyAlignment="1" applyProtection="1">
      <alignment/>
      <protection/>
    </xf>
    <xf numFmtId="0" fontId="53" fillId="0" borderId="0" xfId="0" applyFont="1" applyAlignment="1">
      <alignment horizontal="right"/>
    </xf>
    <xf numFmtId="0" fontId="53" fillId="0" borderId="0" xfId="0" applyFont="1" applyAlignment="1">
      <alignment/>
    </xf>
    <xf numFmtId="0" fontId="16" fillId="0" borderId="0" xfId="0" applyFont="1" applyAlignment="1">
      <alignment horizontal="right"/>
    </xf>
    <xf numFmtId="1" fontId="12" fillId="0" borderId="0" xfId="0" applyNumberFormat="1" applyFont="1" applyAlignment="1">
      <alignment horizontal="center"/>
    </xf>
    <xf numFmtId="2" fontId="166" fillId="0" borderId="0" xfId="0" applyNumberFormat="1" applyFont="1" applyAlignment="1">
      <alignment/>
    </xf>
    <xf numFmtId="0" fontId="24" fillId="0" borderId="0" xfId="0" applyFont="1" applyBorder="1" applyAlignment="1">
      <alignment horizontal="right"/>
    </xf>
    <xf numFmtId="0" fontId="124" fillId="0" borderId="0" xfId="0" applyFont="1" applyAlignment="1">
      <alignment horizontal="right"/>
    </xf>
    <xf numFmtId="2" fontId="124" fillId="0" borderId="0" xfId="0" applyNumberFormat="1" applyFont="1" applyAlignment="1">
      <alignment horizontal="left"/>
    </xf>
    <xf numFmtId="0" fontId="9" fillId="0" borderId="0" xfId="0" applyFont="1" applyAlignment="1" quotePrefix="1">
      <alignment/>
    </xf>
    <xf numFmtId="0" fontId="1" fillId="0" borderId="0" xfId="0" applyFont="1" applyAlignment="1" quotePrefix="1">
      <alignment/>
    </xf>
    <xf numFmtId="2" fontId="16" fillId="0" borderId="0" xfId="0" applyNumberFormat="1" applyFont="1" applyAlignment="1">
      <alignment/>
    </xf>
    <xf numFmtId="2" fontId="0" fillId="34" borderId="0" xfId="0" applyNumberFormat="1" applyFill="1" applyAlignment="1">
      <alignment horizontal="right"/>
    </xf>
    <xf numFmtId="0" fontId="6" fillId="0" borderId="0" xfId="0" applyFont="1" applyAlignment="1" quotePrefix="1">
      <alignment/>
    </xf>
    <xf numFmtId="0" fontId="176" fillId="0" borderId="0" xfId="0" applyFont="1" applyAlignment="1">
      <alignment horizontal="right"/>
    </xf>
    <xf numFmtId="2" fontId="176" fillId="0" borderId="0" xfId="0" applyNumberFormat="1" applyFont="1" applyAlignment="1">
      <alignment horizontal="right"/>
    </xf>
    <xf numFmtId="2" fontId="176" fillId="0" borderId="0" xfId="0" applyNumberFormat="1" applyFont="1" applyAlignment="1">
      <alignment/>
    </xf>
    <xf numFmtId="0" fontId="176" fillId="0" borderId="0" xfId="0" applyFont="1" applyAlignment="1">
      <alignment/>
    </xf>
    <xf numFmtId="1" fontId="12" fillId="0" borderId="0" xfId="0" applyNumberFormat="1" applyFont="1" applyAlignment="1" quotePrefix="1">
      <alignment/>
    </xf>
    <xf numFmtId="192" fontId="3" fillId="0" borderId="0" xfId="0" applyNumberFormat="1" applyFont="1" applyAlignment="1">
      <alignment horizontal="center"/>
    </xf>
    <xf numFmtId="192" fontId="27" fillId="0" borderId="0" xfId="0" applyNumberFormat="1" applyFont="1" applyAlignment="1">
      <alignment horizontal="center"/>
    </xf>
    <xf numFmtId="1" fontId="27" fillId="0" borderId="0" xfId="0" applyNumberFormat="1" applyFont="1" applyAlignment="1">
      <alignment horizontal="center"/>
    </xf>
    <xf numFmtId="2" fontId="12" fillId="0" borderId="0" xfId="0" applyNumberFormat="1" applyFont="1" applyBorder="1" applyAlignment="1">
      <alignment/>
    </xf>
    <xf numFmtId="192" fontId="18" fillId="0" borderId="0" xfId="0" applyNumberFormat="1" applyFont="1" applyAlignment="1">
      <alignment horizontal="center"/>
    </xf>
    <xf numFmtId="0" fontId="178" fillId="0" borderId="0" xfId="0" applyFont="1" applyAlignment="1">
      <alignment horizontal="right"/>
    </xf>
    <xf numFmtId="2" fontId="6" fillId="0" borderId="0" xfId="0" applyNumberFormat="1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 horizontal="center"/>
    </xf>
    <xf numFmtId="19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right"/>
    </xf>
    <xf numFmtId="0" fontId="53" fillId="0" borderId="0" xfId="0" applyFont="1" applyAlignment="1" quotePrefix="1">
      <alignment/>
    </xf>
    <xf numFmtId="0" fontId="45" fillId="0" borderId="0" xfId="0" applyFont="1" applyAlignment="1">
      <alignment horizontal="right"/>
    </xf>
    <xf numFmtId="2" fontId="45" fillId="0" borderId="0" xfId="0" applyNumberFormat="1" applyFont="1" applyAlignment="1">
      <alignment/>
    </xf>
    <xf numFmtId="0" fontId="45" fillId="0" borderId="0" xfId="0" applyFont="1" applyAlignment="1">
      <alignment/>
    </xf>
    <xf numFmtId="192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21" fillId="0" borderId="10" xfId="0" applyFont="1" applyBorder="1" applyAlignment="1" quotePrefix="1">
      <alignment/>
    </xf>
    <xf numFmtId="0" fontId="0" fillId="0" borderId="10" xfId="0" applyFont="1" applyBorder="1" applyAlignment="1">
      <alignment horizontal="center"/>
    </xf>
    <xf numFmtId="192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179" fillId="0" borderId="0" xfId="0" applyFont="1" applyBorder="1" applyAlignment="1" quotePrefix="1">
      <alignment/>
    </xf>
    <xf numFmtId="0" fontId="0" fillId="0" borderId="0" xfId="0" applyFont="1" applyBorder="1" applyAlignment="1">
      <alignment horizontal="center"/>
    </xf>
    <xf numFmtId="192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130" fillId="0" borderId="0" xfId="0" applyFont="1" applyBorder="1" applyAlignment="1" quotePrefix="1">
      <alignment/>
    </xf>
    <xf numFmtId="0" fontId="0" fillId="0" borderId="0" xfId="0" applyFont="1" applyBorder="1" applyAlignment="1">
      <alignment horizontal="center"/>
    </xf>
    <xf numFmtId="19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21" fillId="0" borderId="0" xfId="0" applyFont="1" applyAlignment="1" quotePrefix="1">
      <alignment/>
    </xf>
    <xf numFmtId="0" fontId="0" fillId="0" borderId="0" xfId="0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21" fillId="0" borderId="0" xfId="0" applyFont="1" applyBorder="1" applyAlignment="1" quotePrefix="1">
      <alignment/>
    </xf>
    <xf numFmtId="0" fontId="0" fillId="0" borderId="0" xfId="0" applyFont="1" applyBorder="1" applyAlignment="1">
      <alignment horizontal="center"/>
    </xf>
    <xf numFmtId="2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24" fillId="0" borderId="0" xfId="0" applyNumberFormat="1" applyFont="1" applyAlignment="1">
      <alignment horizontal="right"/>
    </xf>
    <xf numFmtId="0" fontId="41" fillId="0" borderId="0" xfId="0" applyFont="1" applyAlignment="1">
      <alignment/>
    </xf>
    <xf numFmtId="0" fontId="0" fillId="0" borderId="0" xfId="0" applyFont="1" applyAlignment="1">
      <alignment horizontal="center"/>
    </xf>
    <xf numFmtId="19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2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44" fillId="0" borderId="10" xfId="0" applyFont="1" applyBorder="1" applyAlignment="1">
      <alignment horizontal="right"/>
    </xf>
    <xf numFmtId="2" fontId="44" fillId="0" borderId="10" xfId="0" applyNumberFormat="1" applyFont="1" applyBorder="1" applyAlignment="1">
      <alignment horizontal="right"/>
    </xf>
    <xf numFmtId="2" fontId="44" fillId="0" borderId="10" xfId="0" applyNumberFormat="1" applyFont="1" applyBorder="1" applyAlignment="1">
      <alignment/>
    </xf>
    <xf numFmtId="0" fontId="44" fillId="0" borderId="10" xfId="0" applyFont="1" applyBorder="1" applyAlignment="1">
      <alignment/>
    </xf>
    <xf numFmtId="0" fontId="21" fillId="0" borderId="10" xfId="0" applyFont="1" applyBorder="1" applyAlignment="1">
      <alignment/>
    </xf>
    <xf numFmtId="2" fontId="19" fillId="0" borderId="0" xfId="0" applyNumberFormat="1" applyFont="1" applyBorder="1" applyAlignment="1">
      <alignment/>
    </xf>
    <xf numFmtId="0" fontId="181" fillId="0" borderId="0" xfId="0" applyFont="1" applyBorder="1" applyAlignment="1" quotePrefix="1">
      <alignment/>
    </xf>
    <xf numFmtId="0" fontId="19" fillId="0" borderId="0" xfId="0" applyFont="1" applyBorder="1" applyAlignment="1">
      <alignment horizontal="center"/>
    </xf>
    <xf numFmtId="0" fontId="6" fillId="0" borderId="0" xfId="0" applyFont="1" applyAlignment="1" quotePrefix="1">
      <alignment horizontal="left"/>
    </xf>
    <xf numFmtId="0" fontId="6" fillId="0" borderId="0" xfId="0" applyFont="1" applyBorder="1" applyAlignment="1">
      <alignment horizontal="left"/>
    </xf>
    <xf numFmtId="2" fontId="19" fillId="0" borderId="0" xfId="0" applyNumberFormat="1" applyFont="1" applyBorder="1" applyAlignment="1">
      <alignment/>
    </xf>
    <xf numFmtId="1" fontId="93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99" fillId="0" borderId="0" xfId="0" applyFont="1" applyAlignment="1" quotePrefix="1">
      <alignment/>
    </xf>
    <xf numFmtId="0" fontId="9" fillId="0" borderId="0" xfId="0" applyFont="1" applyAlignment="1" quotePrefix="1">
      <alignment horizontal="right"/>
    </xf>
    <xf numFmtId="2" fontId="11" fillId="0" borderId="0" xfId="0" applyNumberFormat="1" applyFont="1" applyAlignment="1" quotePrefix="1">
      <alignment/>
    </xf>
    <xf numFmtId="0" fontId="182" fillId="0" borderId="0" xfId="0" applyFont="1" applyAlignment="1">
      <alignment horizontal="right"/>
    </xf>
    <xf numFmtId="2" fontId="183" fillId="0" borderId="0" xfId="0" applyNumberFormat="1" applyFont="1" applyAlignment="1">
      <alignment horizontal="right"/>
    </xf>
    <xf numFmtId="2" fontId="183" fillId="0" borderId="0" xfId="0" applyNumberFormat="1" applyFont="1" applyAlignment="1">
      <alignment/>
    </xf>
    <xf numFmtId="0" fontId="183" fillId="0" borderId="0" xfId="0" applyFont="1" applyAlignment="1">
      <alignment/>
    </xf>
    <xf numFmtId="0" fontId="119" fillId="0" borderId="0" xfId="0" applyFont="1" applyAlignment="1">
      <alignment horizontal="right"/>
    </xf>
    <xf numFmtId="0" fontId="185" fillId="0" borderId="0" xfId="0" applyFont="1" applyAlignment="1">
      <alignment horizontal="right"/>
    </xf>
    <xf numFmtId="2" fontId="161" fillId="0" borderId="0" xfId="0" applyNumberFormat="1" applyFont="1" applyAlignment="1">
      <alignment horizontal="right"/>
    </xf>
    <xf numFmtId="2" fontId="161" fillId="0" borderId="0" xfId="0" applyNumberFormat="1" applyFont="1" applyAlignment="1">
      <alignment/>
    </xf>
    <xf numFmtId="0" fontId="161" fillId="0" borderId="0" xfId="0" applyFont="1" applyAlignment="1">
      <alignment/>
    </xf>
    <xf numFmtId="0" fontId="161" fillId="0" borderId="0" xfId="0" applyFont="1" applyAlignment="1" quotePrefix="1">
      <alignment/>
    </xf>
    <xf numFmtId="0" fontId="186" fillId="0" borderId="0" xfId="0" applyFont="1" applyAlignment="1">
      <alignment horizontal="right"/>
    </xf>
    <xf numFmtId="1" fontId="11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9" fillId="0" borderId="0" xfId="0" applyNumberFormat="1" applyFont="1" applyAlignment="1">
      <alignment/>
    </xf>
    <xf numFmtId="1" fontId="22" fillId="0" borderId="0" xfId="0" applyNumberFormat="1" applyFont="1" applyAlignment="1">
      <alignment horizontal="center"/>
    </xf>
    <xf numFmtId="2" fontId="93" fillId="0" borderId="0" xfId="0" applyNumberFormat="1" applyFont="1" applyAlignment="1">
      <alignment horizontal="right"/>
    </xf>
    <xf numFmtId="0" fontId="189" fillId="0" borderId="0" xfId="0" applyFont="1" applyAlignment="1">
      <alignment horizontal="right"/>
    </xf>
    <xf numFmtId="0" fontId="163" fillId="0" borderId="0" xfId="0" applyFont="1" applyAlignment="1">
      <alignment horizontal="right"/>
    </xf>
    <xf numFmtId="192" fontId="12" fillId="0" borderId="0" xfId="0" applyNumberFormat="1" applyFont="1" applyBorder="1" applyAlignment="1">
      <alignment horizontal="left"/>
    </xf>
    <xf numFmtId="0" fontId="63" fillId="0" borderId="0" xfId="0" applyFont="1" applyAlignment="1">
      <alignment horizontal="center"/>
    </xf>
    <xf numFmtId="2" fontId="19" fillId="34" borderId="0" xfId="0" applyNumberFormat="1" applyFont="1" applyFill="1" applyAlignment="1">
      <alignment horizontal="right"/>
    </xf>
    <xf numFmtId="0" fontId="12" fillId="34" borderId="0" xfId="0" applyFont="1" applyFill="1" applyAlignment="1">
      <alignment horizontal="left"/>
    </xf>
    <xf numFmtId="2" fontId="12" fillId="0" borderId="10" xfId="0" applyNumberFormat="1" applyFont="1" applyBorder="1" applyAlignment="1">
      <alignment horizontal="right"/>
    </xf>
    <xf numFmtId="2" fontId="12" fillId="0" borderId="0" xfId="0" applyNumberFormat="1" applyFont="1" applyBorder="1" applyAlignment="1">
      <alignment horizontal="right"/>
    </xf>
    <xf numFmtId="1" fontId="24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1" fontId="12" fillId="0" borderId="0" xfId="0" applyNumberFormat="1" applyFont="1" applyBorder="1" applyAlignment="1">
      <alignment horizontal="right"/>
    </xf>
    <xf numFmtId="2" fontId="6" fillId="0" borderId="0" xfId="0" applyNumberFormat="1" applyFont="1" applyAlignment="1" quotePrefix="1">
      <alignment/>
    </xf>
    <xf numFmtId="0" fontId="202" fillId="0" borderId="0" xfId="0" applyFont="1" applyAlignment="1">
      <alignment horizontal="right"/>
    </xf>
    <xf numFmtId="2" fontId="202" fillId="0" borderId="0" xfId="0" applyNumberFormat="1" applyFont="1" applyAlignment="1">
      <alignment horizontal="left"/>
    </xf>
    <xf numFmtId="0" fontId="8" fillId="0" borderId="0" xfId="0" applyFont="1" applyBorder="1" applyAlignment="1">
      <alignment horizontal="right"/>
    </xf>
    <xf numFmtId="192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9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2" fontId="143" fillId="0" borderId="0" xfId="0" applyNumberFormat="1" applyFont="1" applyAlignment="1">
      <alignment horizontal="right"/>
    </xf>
    <xf numFmtId="2" fontId="143" fillId="0" borderId="0" xfId="0" applyNumberFormat="1" applyFont="1" applyAlignment="1">
      <alignment/>
    </xf>
    <xf numFmtId="0" fontId="143" fillId="0" borderId="0" xfId="0" applyFont="1" applyAlignment="1">
      <alignment/>
    </xf>
    <xf numFmtId="0" fontId="25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2" fontId="23" fillId="0" borderId="0" xfId="0" applyNumberFormat="1" applyFont="1" applyAlignment="1">
      <alignment horizontal="right"/>
    </xf>
    <xf numFmtId="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1" fontId="183" fillId="0" borderId="0" xfId="0" applyNumberFormat="1" applyFont="1" applyAlignment="1">
      <alignment/>
    </xf>
    <xf numFmtId="2" fontId="24" fillId="0" borderId="0" xfId="0" applyNumberFormat="1" applyFont="1" applyBorder="1" applyAlignment="1">
      <alignment/>
    </xf>
    <xf numFmtId="2" fontId="24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0" fontId="22" fillId="0" borderId="0" xfId="0" applyFont="1" applyAlignment="1" quotePrefix="1">
      <alignment/>
    </xf>
    <xf numFmtId="192" fontId="204" fillId="0" borderId="0" xfId="0" applyNumberFormat="1" applyFont="1" applyAlignment="1">
      <alignment horizontal="center"/>
    </xf>
    <xf numFmtId="1" fontId="204" fillId="0" borderId="0" xfId="0" applyNumberFormat="1" applyFont="1" applyAlignment="1">
      <alignment horizontal="center"/>
    </xf>
    <xf numFmtId="2" fontId="204" fillId="0" borderId="0" xfId="0" applyNumberFormat="1" applyFont="1" applyAlignment="1">
      <alignment/>
    </xf>
    <xf numFmtId="0" fontId="204" fillId="0" borderId="0" xfId="0" applyFont="1" applyAlignment="1">
      <alignment/>
    </xf>
    <xf numFmtId="192" fontId="204" fillId="0" borderId="0" xfId="0" applyNumberFormat="1" applyFont="1" applyBorder="1" applyAlignment="1">
      <alignment horizontal="left"/>
    </xf>
    <xf numFmtId="0" fontId="204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2" fontId="93" fillId="0" borderId="10" xfId="0" applyNumberFormat="1" applyFont="1" applyBorder="1" applyAlignment="1">
      <alignment horizontal="center"/>
    </xf>
    <xf numFmtId="0" fontId="0" fillId="0" borderId="10" xfId="0" applyFont="1" applyBorder="1" applyAlignment="1" quotePrefix="1">
      <alignment/>
    </xf>
    <xf numFmtId="0" fontId="8" fillId="0" borderId="10" xfId="0" applyFont="1" applyBorder="1" applyAlignment="1" quotePrefix="1">
      <alignment/>
    </xf>
    <xf numFmtId="2" fontId="1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2" fontId="16" fillId="0" borderId="0" xfId="0" applyNumberFormat="1" applyFont="1" applyBorder="1" applyAlignment="1">
      <alignment/>
    </xf>
    <xf numFmtId="0" fontId="1" fillId="0" borderId="0" xfId="0" applyFont="1" applyAlignment="1" quotePrefix="1">
      <alignment horizontal="right"/>
    </xf>
    <xf numFmtId="192" fontId="16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left"/>
    </xf>
    <xf numFmtId="2" fontId="0" fillId="0" borderId="0" xfId="0" applyNumberFormat="1" applyFont="1" applyAlignment="1" quotePrefix="1">
      <alignment/>
    </xf>
    <xf numFmtId="192" fontId="12" fillId="0" borderId="0" xfId="0" applyNumberFormat="1" applyFont="1" applyAlignment="1">
      <alignment horizontal="center"/>
    </xf>
    <xf numFmtId="192" fontId="93" fillId="37" borderId="0" xfId="0" applyNumberFormat="1" applyFont="1" applyFill="1" applyAlignment="1">
      <alignment horizontal="center"/>
    </xf>
    <xf numFmtId="2" fontId="12" fillId="0" borderId="0" xfId="0" applyNumberFormat="1" applyFont="1" applyAlignment="1">
      <alignment horizontal="center"/>
    </xf>
    <xf numFmtId="2" fontId="24" fillId="0" borderId="0" xfId="0" applyNumberFormat="1" applyFont="1" applyAlignment="1">
      <alignment horizontal="center"/>
    </xf>
    <xf numFmtId="0" fontId="14" fillId="0" borderId="0" xfId="0" applyFont="1" applyBorder="1" applyAlignment="1">
      <alignment horizontal="right"/>
    </xf>
    <xf numFmtId="2" fontId="42" fillId="0" borderId="0" xfId="0" applyNumberFormat="1" applyFont="1" applyAlignment="1">
      <alignment/>
    </xf>
    <xf numFmtId="192" fontId="8" fillId="0" borderId="10" xfId="0" applyNumberFormat="1" applyFont="1" applyBorder="1" applyAlignment="1">
      <alignment horizontal="left"/>
    </xf>
    <xf numFmtId="0" fontId="209" fillId="0" borderId="0" xfId="0" applyFont="1" applyAlignment="1">
      <alignment horizontal="right"/>
    </xf>
    <xf numFmtId="2" fontId="12" fillId="0" borderId="0" xfId="0" applyNumberFormat="1" applyFont="1" applyAlignment="1" quotePrefix="1">
      <alignment/>
    </xf>
    <xf numFmtId="192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67" fillId="0" borderId="0" xfId="0" applyFont="1" applyAlignment="1">
      <alignment/>
    </xf>
    <xf numFmtId="192" fontId="8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/>
    </xf>
    <xf numFmtId="0" fontId="12" fillId="0" borderId="0" xfId="0" applyFont="1" applyBorder="1" applyAlignment="1">
      <alignment horizontal="right"/>
    </xf>
    <xf numFmtId="2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0" fontId="211" fillId="0" borderId="0" xfId="0" applyFont="1" applyBorder="1" applyAlignment="1" quotePrefix="1">
      <alignment/>
    </xf>
    <xf numFmtId="0" fontId="12" fillId="0" borderId="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21" fillId="0" borderId="0" xfId="0" applyFont="1" applyBorder="1" applyAlignment="1">
      <alignment/>
    </xf>
    <xf numFmtId="0" fontId="211" fillId="0" borderId="0" xfId="0" applyFont="1" applyAlignment="1" quotePrefix="1">
      <alignment/>
    </xf>
    <xf numFmtId="0" fontId="13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0" fontId="124" fillId="0" borderId="0" xfId="0" applyFont="1" applyBorder="1" applyAlignment="1">
      <alignment/>
    </xf>
    <xf numFmtId="0" fontId="44" fillId="0" borderId="14" xfId="0" applyFont="1" applyBorder="1" applyAlignment="1">
      <alignment/>
    </xf>
    <xf numFmtId="192" fontId="0" fillId="0" borderId="15" xfId="0" applyNumberFormat="1" applyBorder="1" applyAlignment="1">
      <alignment horizontal="center"/>
    </xf>
    <xf numFmtId="192" fontId="0" fillId="0" borderId="16" xfId="0" applyNumberFormat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45" fillId="0" borderId="0" xfId="0" applyFont="1" applyAlignment="1">
      <alignment/>
    </xf>
    <xf numFmtId="2" fontId="42" fillId="0" borderId="0" xfId="0" applyNumberFormat="1" applyFont="1" applyBorder="1" applyAlignment="1">
      <alignment/>
    </xf>
    <xf numFmtId="0" fontId="42" fillId="0" borderId="0" xfId="0" applyFont="1" applyAlignment="1" quotePrefix="1">
      <alignment/>
    </xf>
    <xf numFmtId="0" fontId="69" fillId="0" borderId="0" xfId="0" applyFont="1" applyAlignment="1">
      <alignment horizontal="right"/>
    </xf>
    <xf numFmtId="2" fontId="45" fillId="0" borderId="0" xfId="0" applyNumberFormat="1" applyFont="1" applyAlignment="1">
      <alignment horizontal="right"/>
    </xf>
    <xf numFmtId="2" fontId="93" fillId="0" borderId="0" xfId="0" applyNumberFormat="1" applyFont="1" applyAlignment="1">
      <alignment/>
    </xf>
    <xf numFmtId="2" fontId="1" fillId="0" borderId="10" xfId="0" applyNumberFormat="1" applyFont="1" applyBorder="1" applyAlignment="1">
      <alignment horizontal="right"/>
    </xf>
    <xf numFmtId="0" fontId="94" fillId="0" borderId="0" xfId="0" applyFont="1" applyAlignment="1">
      <alignment/>
    </xf>
    <xf numFmtId="0" fontId="24" fillId="0" borderId="10" xfId="0" applyFont="1" applyBorder="1" applyAlignment="1">
      <alignment horizontal="right"/>
    </xf>
    <xf numFmtId="1" fontId="6" fillId="0" borderId="0" xfId="0" applyNumberFormat="1" applyFont="1" applyBorder="1" applyAlignment="1">
      <alignment horizontal="center"/>
    </xf>
    <xf numFmtId="0" fontId="215" fillId="0" borderId="0" xfId="0" applyFont="1" applyAlignment="1">
      <alignment/>
    </xf>
    <xf numFmtId="192" fontId="0" fillId="0" borderId="17" xfId="0" applyNumberForma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right"/>
    </xf>
    <xf numFmtId="2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25" fillId="0" borderId="1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0" fillId="0" borderId="0" xfId="0" applyFont="1" applyBorder="1" applyAlignment="1" quotePrefix="1">
      <alignment/>
    </xf>
    <xf numFmtId="1" fontId="0" fillId="0" borderId="17" xfId="0" applyNumberFormat="1" applyBorder="1" applyAlignment="1">
      <alignment horizontal="center"/>
    </xf>
    <xf numFmtId="0" fontId="15" fillId="0" borderId="17" xfId="0" applyFont="1" applyBorder="1" applyAlignment="1">
      <alignment horizontal="right"/>
    </xf>
    <xf numFmtId="2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192" fontId="8" fillId="0" borderId="17" xfId="0" applyNumberFormat="1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2" fontId="164" fillId="0" borderId="0" xfId="0" applyNumberFormat="1" applyFont="1" applyAlignment="1">
      <alignment horizontal="right"/>
    </xf>
    <xf numFmtId="2" fontId="164" fillId="0" borderId="0" xfId="0" applyNumberFormat="1" applyFont="1" applyAlignment="1">
      <alignment/>
    </xf>
    <xf numFmtId="0" fontId="164" fillId="0" borderId="0" xfId="0" applyFont="1" applyAlignment="1">
      <alignment/>
    </xf>
    <xf numFmtId="2" fontId="93" fillId="0" borderId="0" xfId="0" applyNumberFormat="1" applyFont="1" applyAlignment="1" quotePrefix="1">
      <alignment horizontal="right"/>
    </xf>
    <xf numFmtId="2" fontId="6" fillId="0" borderId="0" xfId="0" applyNumberFormat="1" applyFont="1" applyAlignment="1" quotePrefix="1">
      <alignment horizontal="right"/>
    </xf>
    <xf numFmtId="1" fontId="6" fillId="0" borderId="10" xfId="0" applyNumberFormat="1" applyFont="1" applyBorder="1" applyAlignment="1">
      <alignment horizontal="center"/>
    </xf>
    <xf numFmtId="192" fontId="6" fillId="0" borderId="10" xfId="0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right"/>
    </xf>
    <xf numFmtId="2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25" fillId="0" borderId="0" xfId="0" applyFont="1" applyAlignment="1">
      <alignment horizontal="right"/>
    </xf>
    <xf numFmtId="2" fontId="9" fillId="35" borderId="0" xfId="0" applyNumberFormat="1" applyFont="1" applyFill="1" applyAlignment="1">
      <alignment horizontal="right"/>
    </xf>
    <xf numFmtId="2" fontId="218" fillId="0" borderId="0" xfId="0" applyNumberFormat="1" applyFont="1" applyAlignment="1">
      <alignment/>
    </xf>
    <xf numFmtId="2" fontId="45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ill="1" applyBorder="1" applyAlignment="1">
      <alignment/>
    </xf>
    <xf numFmtId="2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/>
    </xf>
    <xf numFmtId="2" fontId="12" fillId="0" borderId="10" xfId="0" applyNumberFormat="1" applyFont="1" applyBorder="1" applyAlignment="1">
      <alignment/>
    </xf>
    <xf numFmtId="0" fontId="25" fillId="0" borderId="0" xfId="0" applyFont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1" fontId="8" fillId="38" borderId="11" xfId="0" applyNumberFormat="1" applyFont="1" applyFill="1" applyBorder="1" applyAlignment="1">
      <alignment horizontal="center"/>
    </xf>
    <xf numFmtId="1" fontId="1" fillId="38" borderId="0" xfId="0" applyNumberFormat="1" applyFont="1" applyFill="1" applyBorder="1" applyAlignment="1">
      <alignment horizontal="center"/>
    </xf>
    <xf numFmtId="1" fontId="0" fillId="38" borderId="0" xfId="0" applyNumberFormat="1" applyFill="1" applyAlignment="1">
      <alignment horizontal="center"/>
    </xf>
    <xf numFmtId="1" fontId="16" fillId="38" borderId="0" xfId="0" applyNumberFormat="1" applyFont="1" applyFill="1" applyAlignment="1">
      <alignment horizontal="center"/>
    </xf>
    <xf numFmtId="1" fontId="16" fillId="38" borderId="0" xfId="0" applyNumberFormat="1" applyFont="1" applyFill="1" applyBorder="1" applyAlignment="1">
      <alignment horizontal="center"/>
    </xf>
    <xf numFmtId="1" fontId="12" fillId="38" borderId="0" xfId="0" applyNumberFormat="1" applyFont="1" applyFill="1" applyAlignment="1">
      <alignment horizontal="center"/>
    </xf>
    <xf numFmtId="1" fontId="93" fillId="38" borderId="0" xfId="0" applyNumberFormat="1" applyFont="1" applyFill="1" applyAlignment="1">
      <alignment horizontal="center"/>
    </xf>
    <xf numFmtId="1" fontId="0" fillId="38" borderId="10" xfId="0" applyNumberFormat="1" applyFill="1" applyBorder="1" applyAlignment="1">
      <alignment horizontal="center"/>
    </xf>
    <xf numFmtId="1" fontId="0" fillId="38" borderId="0" xfId="0" applyNumberFormat="1" applyFill="1" applyBorder="1" applyAlignment="1">
      <alignment horizontal="center"/>
    </xf>
    <xf numFmtId="1" fontId="93" fillId="38" borderId="0" xfId="0" applyNumberFormat="1" applyFont="1" applyFill="1" applyBorder="1" applyAlignment="1">
      <alignment horizontal="center"/>
    </xf>
    <xf numFmtId="1" fontId="93" fillId="38" borderId="10" xfId="0" applyNumberFormat="1" applyFont="1" applyFill="1" applyBorder="1" applyAlignment="1">
      <alignment horizontal="center"/>
    </xf>
    <xf numFmtId="1" fontId="27" fillId="38" borderId="0" xfId="0" applyNumberFormat="1" applyFont="1" applyFill="1" applyAlignment="1">
      <alignment horizontal="center"/>
    </xf>
    <xf numFmtId="1" fontId="3" fillId="38" borderId="0" xfId="0" applyNumberFormat="1" applyFont="1" applyFill="1" applyAlignment="1">
      <alignment horizontal="center"/>
    </xf>
    <xf numFmtId="1" fontId="6" fillId="38" borderId="0" xfId="0" applyNumberFormat="1" applyFont="1" applyFill="1" applyAlignment="1">
      <alignment horizontal="center"/>
    </xf>
    <xf numFmtId="1" fontId="0" fillId="38" borderId="0" xfId="0" applyNumberFormat="1" applyFill="1" applyAlignment="1" quotePrefix="1">
      <alignment horizontal="center"/>
    </xf>
    <xf numFmtId="1" fontId="9" fillId="38" borderId="0" xfId="0" applyNumberFormat="1" applyFont="1" applyFill="1" applyAlignment="1">
      <alignment horizontal="center"/>
    </xf>
    <xf numFmtId="1" fontId="0" fillId="38" borderId="0" xfId="0" applyNumberFormat="1" applyFont="1" applyFill="1" applyAlignment="1">
      <alignment horizontal="center"/>
    </xf>
    <xf numFmtId="1" fontId="0" fillId="38" borderId="17" xfId="0" applyNumberFormat="1" applyFill="1" applyBorder="1" applyAlignment="1">
      <alignment horizontal="center"/>
    </xf>
    <xf numFmtId="1" fontId="0" fillId="38" borderId="0" xfId="0" applyNumberFormat="1" applyFont="1" applyFill="1" applyAlignment="1">
      <alignment horizontal="center"/>
    </xf>
    <xf numFmtId="1" fontId="204" fillId="38" borderId="0" xfId="0" applyNumberFormat="1" applyFont="1" applyFill="1" applyAlignment="1">
      <alignment horizontal="center"/>
    </xf>
    <xf numFmtId="1" fontId="93" fillId="38" borderId="0" xfId="0" applyNumberFormat="1" applyFont="1" applyFill="1" applyAlignment="1" quotePrefix="1">
      <alignment horizontal="center"/>
    </xf>
    <xf numFmtId="1" fontId="2" fillId="38" borderId="0" xfId="0" applyNumberFormat="1" applyFont="1" applyFill="1" applyAlignment="1">
      <alignment horizontal="center"/>
    </xf>
    <xf numFmtId="1" fontId="0" fillId="38" borderId="0" xfId="0" applyNumberFormat="1" applyFont="1" applyFill="1" applyAlignment="1">
      <alignment horizontal="center"/>
    </xf>
    <xf numFmtId="1" fontId="0" fillId="38" borderId="10" xfId="0" applyNumberFormat="1" applyFont="1" applyFill="1" applyBorder="1" applyAlignment="1">
      <alignment horizontal="center"/>
    </xf>
    <xf numFmtId="1" fontId="0" fillId="38" borderId="0" xfId="0" applyNumberFormat="1" applyFont="1" applyFill="1" applyBorder="1" applyAlignment="1">
      <alignment horizontal="center"/>
    </xf>
    <xf numFmtId="1" fontId="0" fillId="38" borderId="0" xfId="0" applyNumberFormat="1" applyFont="1" applyFill="1" applyBorder="1" applyAlignment="1">
      <alignment horizontal="center"/>
    </xf>
    <xf numFmtId="1" fontId="0" fillId="38" borderId="0" xfId="0" applyNumberFormat="1" applyFont="1" applyFill="1" applyAlignment="1">
      <alignment horizontal="center"/>
    </xf>
    <xf numFmtId="1" fontId="0" fillId="38" borderId="10" xfId="0" applyNumberFormat="1" applyFont="1" applyFill="1" applyBorder="1" applyAlignment="1">
      <alignment horizontal="center"/>
    </xf>
    <xf numFmtId="1" fontId="0" fillId="38" borderId="0" xfId="0" applyNumberFormat="1" applyFont="1" applyFill="1" applyAlignment="1">
      <alignment horizontal="center"/>
    </xf>
    <xf numFmtId="0" fontId="25" fillId="0" borderId="17" xfId="0" applyFont="1" applyBorder="1" applyAlignment="1">
      <alignment horizontal="right"/>
    </xf>
    <xf numFmtId="2" fontId="0" fillId="0" borderId="17" xfId="0" applyNumberFormat="1" applyFont="1" applyBorder="1" applyAlignment="1">
      <alignment horizontal="right"/>
    </xf>
    <xf numFmtId="2" fontId="0" fillId="0" borderId="17" xfId="0" applyNumberFormat="1" applyBorder="1" applyAlignment="1">
      <alignment/>
    </xf>
    <xf numFmtId="0" fontId="18" fillId="0" borderId="17" xfId="0" applyFont="1" applyBorder="1" applyAlignment="1">
      <alignment/>
    </xf>
    <xf numFmtId="0" fontId="25" fillId="0" borderId="0" xfId="0" applyFont="1" applyAlignment="1" quotePrefix="1">
      <alignment/>
    </xf>
    <xf numFmtId="192" fontId="13" fillId="0" borderId="0" xfId="0" applyNumberFormat="1" applyFont="1" applyAlignment="1">
      <alignment horizontal="center"/>
    </xf>
    <xf numFmtId="1" fontId="13" fillId="38" borderId="0" xfId="0" applyNumberFormat="1" applyFont="1" applyFill="1" applyAlignment="1">
      <alignment horizontal="center"/>
    </xf>
    <xf numFmtId="0" fontId="12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24" fillId="0" borderId="0" xfId="0" applyFont="1" applyAlignment="1">
      <alignment/>
    </xf>
    <xf numFmtId="0" fontId="1" fillId="0" borderId="0" xfId="0" applyFont="1" applyAlignment="1">
      <alignment horizontal="right"/>
    </xf>
    <xf numFmtId="192" fontId="25" fillId="0" borderId="0" xfId="0" applyNumberFormat="1" applyFont="1" applyAlignment="1">
      <alignment horizontal="center"/>
    </xf>
    <xf numFmtId="1" fontId="25" fillId="38" borderId="0" xfId="0" applyNumberFormat="1" applyFont="1" applyFill="1" applyAlignment="1">
      <alignment horizontal="center"/>
    </xf>
    <xf numFmtId="1" fontId="25" fillId="0" borderId="0" xfId="0" applyNumberFormat="1" applyFont="1" applyAlignment="1">
      <alignment horizontal="center"/>
    </xf>
    <xf numFmtId="2" fontId="12" fillId="0" borderId="0" xfId="0" applyNumberFormat="1" applyFont="1" applyAlignment="1" quotePrefix="1">
      <alignment horizontal="right"/>
    </xf>
    <xf numFmtId="2" fontId="7" fillId="0" borderId="0" xfId="0" applyNumberFormat="1" applyFont="1" applyAlignment="1">
      <alignment/>
    </xf>
    <xf numFmtId="0" fontId="39" fillId="0" borderId="0" xfId="0" applyFont="1" applyAlignment="1">
      <alignment horizontal="center"/>
    </xf>
    <xf numFmtId="192" fontId="6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1" fontId="45" fillId="0" borderId="0" xfId="0" applyNumberFormat="1" applyFont="1" applyAlignment="1">
      <alignment horizontal="center"/>
    </xf>
    <xf numFmtId="0" fontId="18" fillId="0" borderId="0" xfId="0" applyFont="1" applyAlignment="1" quotePrefix="1">
      <alignment horizontal="left"/>
    </xf>
    <xf numFmtId="2" fontId="16" fillId="0" borderId="0" xfId="0" applyNumberFormat="1" applyFont="1" applyAlignment="1" quotePrefix="1">
      <alignment horizontal="right"/>
    </xf>
    <xf numFmtId="0" fontId="45" fillId="0" borderId="0" xfId="0" applyFont="1" applyAlignment="1" quotePrefix="1">
      <alignment horizontal="right"/>
    </xf>
    <xf numFmtId="0" fontId="130" fillId="0" borderId="0" xfId="0" applyFont="1" applyAlignment="1">
      <alignment horizontal="right"/>
    </xf>
    <xf numFmtId="0" fontId="130" fillId="0" borderId="0" xfId="0" applyFont="1" applyAlignment="1">
      <alignment/>
    </xf>
    <xf numFmtId="0" fontId="223" fillId="0" borderId="0" xfId="0" applyFont="1" applyAlignment="1">
      <alignment horizontal="center"/>
    </xf>
    <xf numFmtId="0" fontId="142" fillId="0" borderId="0" xfId="0" applyFont="1" applyAlignment="1">
      <alignment horizontal="right"/>
    </xf>
    <xf numFmtId="2" fontId="25" fillId="0" borderId="0" xfId="0" applyNumberFormat="1" applyFont="1" applyAlignment="1">
      <alignment horizontal="right"/>
    </xf>
    <xf numFmtId="2" fontId="25" fillId="0" borderId="0" xfId="0" applyNumberFormat="1" applyFont="1" applyAlignment="1">
      <alignment/>
    </xf>
    <xf numFmtId="0" fontId="25" fillId="0" borderId="0" xfId="0" applyFont="1" applyAlignment="1">
      <alignment/>
    </xf>
    <xf numFmtId="192" fontId="6" fillId="0" borderId="0" xfId="0" applyNumberFormat="1" applyFont="1" applyBorder="1" applyAlignment="1">
      <alignment horizontal="left"/>
    </xf>
    <xf numFmtId="0" fontId="26" fillId="0" borderId="10" xfId="0" applyFont="1" applyBorder="1" applyAlignment="1">
      <alignment horizontal="right"/>
    </xf>
    <xf numFmtId="0" fontId="163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2" fontId="9" fillId="0" borderId="20" xfId="0" applyNumberFormat="1" applyFont="1" applyBorder="1" applyAlignment="1">
      <alignment/>
    </xf>
    <xf numFmtId="2" fontId="9" fillId="0" borderId="21" xfId="0" applyNumberFormat="1" applyFont="1" applyBorder="1" applyAlignment="1">
      <alignment/>
    </xf>
    <xf numFmtId="1" fontId="12" fillId="38" borderId="0" xfId="0" applyNumberFormat="1" applyFont="1" applyFill="1" applyAlignment="1">
      <alignment horizontal="center"/>
    </xf>
    <xf numFmtId="192" fontId="99" fillId="0" borderId="0" xfId="0" applyNumberFormat="1" applyFont="1" applyBorder="1" applyAlignment="1">
      <alignment horizontal="left"/>
    </xf>
    <xf numFmtId="0" fontId="99" fillId="0" borderId="0" xfId="0" applyFont="1" applyAlignment="1">
      <alignment horizontal="center"/>
    </xf>
    <xf numFmtId="0" fontId="12" fillId="0" borderId="0" xfId="0" applyFont="1" applyAlignment="1" quotePrefix="1">
      <alignment/>
    </xf>
    <xf numFmtId="0" fontId="165" fillId="0" borderId="0" xfId="0" applyFont="1" applyAlignment="1">
      <alignment horizontal="right"/>
    </xf>
    <xf numFmtId="0" fontId="226" fillId="0" borderId="0" xfId="0" applyFont="1" applyAlignment="1">
      <alignment/>
    </xf>
    <xf numFmtId="2" fontId="9" fillId="34" borderId="0" xfId="0" applyNumberFormat="1" applyFont="1" applyFill="1" applyAlignment="1">
      <alignment horizontal="right"/>
    </xf>
    <xf numFmtId="1" fontId="18" fillId="0" borderId="0" xfId="0" applyNumberFormat="1" applyFont="1" applyAlignment="1" quotePrefix="1">
      <alignment/>
    </xf>
    <xf numFmtId="0" fontId="44" fillId="0" borderId="22" xfId="0" applyFont="1" applyBorder="1" applyAlignment="1">
      <alignment/>
    </xf>
    <xf numFmtId="0" fontId="41" fillId="0" borderId="0" xfId="0" applyFont="1" applyAlignment="1" quotePrefix="1">
      <alignment/>
    </xf>
    <xf numFmtId="0" fontId="211" fillId="0" borderId="0" xfId="0" applyFont="1" applyAlignment="1">
      <alignment horizontal="right"/>
    </xf>
    <xf numFmtId="0" fontId="211" fillId="0" borderId="0" xfId="0" applyFont="1" applyAlignment="1">
      <alignment/>
    </xf>
    <xf numFmtId="0" fontId="228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2" fontId="19" fillId="0" borderId="0" xfId="0" applyNumberFormat="1" applyFont="1" applyAlignment="1">
      <alignment/>
    </xf>
    <xf numFmtId="1" fontId="142" fillId="0" borderId="0" xfId="0" applyNumberFormat="1" applyFont="1" applyAlignment="1">
      <alignment horizontal="center"/>
    </xf>
    <xf numFmtId="0" fontId="230" fillId="0" borderId="0" xfId="0" applyFont="1" applyAlignment="1">
      <alignment horizontal="right"/>
    </xf>
    <xf numFmtId="2" fontId="231" fillId="0" borderId="0" xfId="0" applyNumberFormat="1" applyFont="1" applyAlignment="1">
      <alignment/>
    </xf>
    <xf numFmtId="0" fontId="232" fillId="0" borderId="0" xfId="0" applyFont="1" applyAlignment="1">
      <alignment horizontal="right"/>
    </xf>
    <xf numFmtId="0" fontId="232" fillId="0" borderId="0" xfId="0" applyFont="1" applyAlignment="1">
      <alignment/>
    </xf>
    <xf numFmtId="192" fontId="0" fillId="0" borderId="23" xfId="0" applyNumberFormat="1" applyBorder="1" applyAlignment="1">
      <alignment horizontal="center"/>
    </xf>
    <xf numFmtId="192" fontId="0" fillId="0" borderId="24" xfId="0" applyNumberFormat="1" applyBorder="1" applyAlignment="1">
      <alignment horizontal="center"/>
    </xf>
    <xf numFmtId="0" fontId="19" fillId="0" borderId="0" xfId="0" applyFont="1" applyAlignment="1" quotePrefix="1">
      <alignment/>
    </xf>
    <xf numFmtId="0" fontId="0" fillId="0" borderId="0" xfId="0" applyFont="1" applyAlignment="1">
      <alignment horizontal="center"/>
    </xf>
    <xf numFmtId="2" fontId="39" fillId="0" borderId="0" xfId="0" applyNumberFormat="1" applyFont="1" applyAlignment="1">
      <alignment horizontal="left"/>
    </xf>
    <xf numFmtId="0" fontId="233" fillId="0" borderId="0" xfId="0" applyFont="1" applyAlignment="1" quotePrefix="1">
      <alignment/>
    </xf>
    <xf numFmtId="0" fontId="0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0" fontId="49" fillId="0" borderId="0" xfId="0" applyFont="1" applyBorder="1" applyAlignment="1">
      <alignment horizontal="right"/>
    </xf>
    <xf numFmtId="2" fontId="27" fillId="0" borderId="0" xfId="0" applyNumberFormat="1" applyFont="1" applyAlignment="1">
      <alignment horizontal="left"/>
    </xf>
    <xf numFmtId="1" fontId="27" fillId="0" borderId="0" xfId="0" applyNumberFormat="1" applyFont="1" applyAlignment="1">
      <alignment horizontal="right"/>
    </xf>
    <xf numFmtId="2" fontId="27" fillId="0" borderId="0" xfId="0" applyNumberFormat="1" applyFont="1" applyAlignment="1">
      <alignment horizontal="right"/>
    </xf>
    <xf numFmtId="0" fontId="234" fillId="0" borderId="0" xfId="0" applyFont="1" applyAlignment="1">
      <alignment horizontal="right"/>
    </xf>
    <xf numFmtId="0" fontId="93" fillId="0" borderId="0" xfId="0" applyFont="1" applyBorder="1" applyAlignment="1">
      <alignment horizontal="right"/>
    </xf>
    <xf numFmtId="0" fontId="25" fillId="0" borderId="0" xfId="0" applyFont="1" applyAlignment="1" quotePrefix="1">
      <alignment/>
    </xf>
    <xf numFmtId="0" fontId="27" fillId="0" borderId="0" xfId="0" applyFont="1" applyAlignment="1">
      <alignment horizontal="right"/>
    </xf>
    <xf numFmtId="2" fontId="6" fillId="0" borderId="10" xfId="0" applyNumberFormat="1" applyFont="1" applyBorder="1" applyAlignment="1" quotePrefix="1">
      <alignment/>
    </xf>
    <xf numFmtId="0" fontId="39" fillId="0" borderId="0" xfId="0" applyFont="1" applyAlignment="1">
      <alignment horizontal="center"/>
    </xf>
    <xf numFmtId="2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" fontId="12" fillId="0" borderId="0" xfId="0" applyNumberFormat="1" applyFont="1" applyAlignment="1">
      <alignment horizontal="right"/>
    </xf>
    <xf numFmtId="1" fontId="9" fillId="0" borderId="0" xfId="0" applyNumberFormat="1" applyFont="1" applyAlignment="1">
      <alignment horizontal="right"/>
    </xf>
    <xf numFmtId="192" fontId="236" fillId="0" borderId="0" xfId="0" applyNumberFormat="1" applyFont="1" applyAlignment="1">
      <alignment horizontal="center"/>
    </xf>
    <xf numFmtId="192" fontId="0" fillId="0" borderId="10" xfId="0" applyNumberFormat="1" applyFont="1" applyBorder="1" applyAlignment="1">
      <alignment horizontal="center"/>
    </xf>
    <xf numFmtId="1" fontId="0" fillId="38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25" fillId="0" borderId="0" xfId="0" applyFont="1" applyAlignment="1" quotePrefix="1">
      <alignment horizontal="right"/>
    </xf>
    <xf numFmtId="2" fontId="16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57" fillId="0" borderId="0" xfId="0" applyNumberFormat="1" applyFont="1" applyAlignment="1">
      <alignment horizontal="right"/>
    </xf>
    <xf numFmtId="0" fontId="238" fillId="0" borderId="0" xfId="0" applyFont="1" applyAlignment="1">
      <alignment horizontal="right"/>
    </xf>
    <xf numFmtId="0" fontId="84" fillId="0" borderId="0" xfId="0" applyFont="1" applyAlignment="1">
      <alignment horizontal="right"/>
    </xf>
    <xf numFmtId="0" fontId="84" fillId="0" borderId="0" xfId="0" applyFont="1" applyAlignment="1">
      <alignment/>
    </xf>
    <xf numFmtId="0" fontId="7" fillId="0" borderId="0" xfId="0" applyFont="1" applyAlignment="1" quotePrefix="1">
      <alignment/>
    </xf>
    <xf numFmtId="0" fontId="3" fillId="0" borderId="0" xfId="0" applyFont="1" applyAlignment="1">
      <alignment horizontal="right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99" fillId="0" borderId="0" xfId="0" applyNumberFormat="1" applyFont="1" applyAlignment="1">
      <alignment/>
    </xf>
    <xf numFmtId="192" fontId="63" fillId="0" borderId="0" xfId="0" applyNumberFormat="1" applyFont="1" applyAlignment="1">
      <alignment horizontal="center"/>
    </xf>
    <xf numFmtId="1" fontId="63" fillId="38" borderId="0" xfId="0" applyNumberFormat="1" applyFont="1" applyFill="1" applyAlignment="1">
      <alignment horizontal="center"/>
    </xf>
    <xf numFmtId="1" fontId="63" fillId="0" borderId="0" xfId="0" applyNumberFormat="1" applyFont="1" applyAlignment="1">
      <alignment horizontal="center"/>
    </xf>
    <xf numFmtId="0" fontId="203" fillId="0" borderId="0" xfId="0" applyFont="1" applyAlignment="1">
      <alignment horizontal="right"/>
    </xf>
    <xf numFmtId="2" fontId="190" fillId="0" borderId="0" xfId="0" applyNumberFormat="1" applyFont="1" applyAlignment="1">
      <alignment/>
    </xf>
    <xf numFmtId="2" fontId="63" fillId="0" borderId="0" xfId="0" applyNumberFormat="1" applyFont="1" applyAlignment="1">
      <alignment/>
    </xf>
    <xf numFmtId="0" fontId="63" fillId="0" borderId="0" xfId="0" applyFont="1" applyAlignment="1">
      <alignment/>
    </xf>
    <xf numFmtId="2" fontId="203" fillId="0" borderId="0" xfId="0" applyNumberFormat="1" applyFont="1" applyAlignment="1">
      <alignment/>
    </xf>
    <xf numFmtId="0" fontId="172" fillId="0" borderId="0" xfId="0" applyFont="1" applyAlignment="1" quotePrefix="1">
      <alignment/>
    </xf>
    <xf numFmtId="0" fontId="63" fillId="0" borderId="0" xfId="0" applyFont="1" applyAlignment="1">
      <alignment horizontal="center"/>
    </xf>
    <xf numFmtId="0" fontId="190" fillId="0" borderId="0" xfId="0" applyFont="1" applyAlignment="1">
      <alignment/>
    </xf>
    <xf numFmtId="0" fontId="190" fillId="0" borderId="0" xfId="0" applyFont="1" applyAlignment="1">
      <alignment horizontal="right"/>
    </xf>
    <xf numFmtId="0" fontId="235" fillId="0" borderId="0" xfId="0" applyFont="1" applyAlignment="1">
      <alignment horizontal="center"/>
    </xf>
    <xf numFmtId="0" fontId="239" fillId="0" borderId="0" xfId="0" applyFont="1" applyAlignment="1">
      <alignment horizontal="right"/>
    </xf>
    <xf numFmtId="2" fontId="239" fillId="0" borderId="0" xfId="0" applyNumberFormat="1" applyFont="1" applyAlignment="1">
      <alignment/>
    </xf>
    <xf numFmtId="0" fontId="240" fillId="0" borderId="0" xfId="0" applyFont="1" applyAlignment="1">
      <alignment horizontal="right"/>
    </xf>
    <xf numFmtId="0" fontId="58" fillId="0" borderId="0" xfId="0" applyFont="1" applyAlignment="1">
      <alignment horizontal="right"/>
    </xf>
    <xf numFmtId="2" fontId="175" fillId="0" borderId="0" xfId="0" applyNumberFormat="1" applyFont="1" applyAlignment="1">
      <alignment/>
    </xf>
    <xf numFmtId="0" fontId="175" fillId="0" borderId="0" xfId="0" applyFont="1" applyAlignment="1">
      <alignment/>
    </xf>
    <xf numFmtId="0" fontId="175" fillId="0" borderId="0" xfId="0" applyFont="1" applyAlignment="1">
      <alignment horizontal="right"/>
    </xf>
    <xf numFmtId="2" fontId="241" fillId="0" borderId="0" xfId="0" applyNumberFormat="1" applyFont="1" applyAlignment="1">
      <alignment/>
    </xf>
    <xf numFmtId="2" fontId="58" fillId="0" borderId="0" xfId="0" applyNumberFormat="1" applyFont="1" applyAlignment="1">
      <alignment/>
    </xf>
    <xf numFmtId="0" fontId="242" fillId="0" borderId="0" xfId="0" applyFont="1" applyAlignment="1">
      <alignment horizontal="right"/>
    </xf>
    <xf numFmtId="2" fontId="242" fillId="0" borderId="0" xfId="0" applyNumberFormat="1" applyFont="1" applyAlignment="1">
      <alignment/>
    </xf>
    <xf numFmtId="0" fontId="242" fillId="0" borderId="0" xfId="0" applyFont="1" applyAlignment="1">
      <alignment/>
    </xf>
    <xf numFmtId="0" fontId="203" fillId="0" borderId="0" xfId="0" applyFont="1" applyAlignment="1" quotePrefix="1">
      <alignment/>
    </xf>
    <xf numFmtId="0" fontId="239" fillId="0" borderId="0" xfId="0" applyFont="1" applyAlignment="1" quotePrefix="1">
      <alignment/>
    </xf>
    <xf numFmtId="2" fontId="203" fillId="0" borderId="0" xfId="0" applyNumberFormat="1" applyFont="1" applyAlignment="1" quotePrefix="1">
      <alignment/>
    </xf>
    <xf numFmtId="0" fontId="243" fillId="0" borderId="0" xfId="0" applyFont="1" applyAlignment="1">
      <alignment horizontal="right"/>
    </xf>
    <xf numFmtId="2" fontId="243" fillId="0" borderId="0" xfId="0" applyNumberFormat="1" applyFont="1" applyAlignment="1" quotePrefix="1">
      <alignment/>
    </xf>
    <xf numFmtId="2" fontId="243" fillId="0" borderId="0" xfId="0" applyNumberFormat="1" applyFont="1" applyAlignment="1">
      <alignment/>
    </xf>
    <xf numFmtId="0" fontId="243" fillId="0" borderId="0" xfId="0" applyFont="1" applyAlignment="1">
      <alignment/>
    </xf>
    <xf numFmtId="2" fontId="244" fillId="0" borderId="0" xfId="0" applyNumberFormat="1" applyFont="1" applyAlignment="1">
      <alignment horizontal="right"/>
    </xf>
    <xf numFmtId="2" fontId="244" fillId="0" borderId="0" xfId="0" applyNumberFormat="1" applyFont="1" applyAlignment="1">
      <alignment/>
    </xf>
    <xf numFmtId="0" fontId="244" fillId="0" borderId="0" xfId="0" applyFont="1" applyAlignment="1">
      <alignment/>
    </xf>
    <xf numFmtId="0" fontId="244" fillId="0" borderId="0" xfId="0" applyFont="1" applyAlignment="1">
      <alignment horizontal="center"/>
    </xf>
    <xf numFmtId="1" fontId="8" fillId="0" borderId="0" xfId="0" applyNumberFormat="1" applyFont="1" applyAlignment="1">
      <alignment/>
    </xf>
    <xf numFmtId="2" fontId="7" fillId="0" borderId="0" xfId="0" applyNumberFormat="1" applyFont="1" applyBorder="1" applyAlignment="1">
      <alignment/>
    </xf>
    <xf numFmtId="0" fontId="245" fillId="0" borderId="0" xfId="0" applyFont="1" applyAlignment="1">
      <alignment horizontal="right"/>
    </xf>
    <xf numFmtId="2" fontId="0" fillId="0" borderId="25" xfId="0" applyNumberFormat="1" applyFont="1" applyBorder="1" applyAlignment="1">
      <alignment horizontal="center"/>
    </xf>
    <xf numFmtId="192" fontId="0" fillId="0" borderId="26" xfId="0" applyNumberFormat="1" applyFont="1" applyBorder="1" applyAlignment="1">
      <alignment horizontal="center"/>
    </xf>
    <xf numFmtId="0" fontId="6" fillId="0" borderId="0" xfId="0" applyFont="1" applyAlignment="1" quotePrefix="1">
      <alignment horizontal="right"/>
    </xf>
    <xf numFmtId="0" fontId="183" fillId="0" borderId="0" xfId="0" applyFont="1" applyAlignment="1">
      <alignment/>
    </xf>
    <xf numFmtId="2" fontId="183" fillId="0" borderId="0" xfId="0" applyNumberFormat="1" applyFont="1" applyAlignment="1">
      <alignment horizontal="center"/>
    </xf>
    <xf numFmtId="2" fontId="183" fillId="0" borderId="25" xfId="0" applyNumberFormat="1" applyFont="1" applyBorder="1" applyAlignment="1">
      <alignment horizontal="center"/>
    </xf>
    <xf numFmtId="192" fontId="0" fillId="0" borderId="0" xfId="0" applyNumberFormat="1" applyFont="1" applyAlignment="1">
      <alignment horizontal="center"/>
    </xf>
    <xf numFmtId="1" fontId="0" fillId="38" borderId="0" xfId="0" applyNumberFormat="1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192" fontId="16" fillId="0" borderId="26" xfId="0" applyNumberFormat="1" applyFont="1" applyBorder="1" applyAlignment="1">
      <alignment horizontal="center"/>
    </xf>
    <xf numFmtId="0" fontId="235" fillId="0" borderId="0" xfId="0" applyFont="1" applyAlignment="1">
      <alignment horizontal="right"/>
    </xf>
    <xf numFmtId="2" fontId="235" fillId="0" borderId="0" xfId="0" applyNumberFormat="1" applyFont="1" applyAlignment="1">
      <alignment/>
    </xf>
    <xf numFmtId="0" fontId="235" fillId="0" borderId="0" xfId="0" applyFont="1" applyAlignment="1">
      <alignment/>
    </xf>
    <xf numFmtId="0" fontId="236" fillId="0" borderId="0" xfId="0" applyFont="1" applyAlignment="1">
      <alignment horizontal="right"/>
    </xf>
    <xf numFmtId="2" fontId="236" fillId="0" borderId="0" xfId="0" applyNumberFormat="1" applyFont="1" applyAlignment="1">
      <alignment/>
    </xf>
    <xf numFmtId="0" fontId="236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2" fontId="29" fillId="0" borderId="0" xfId="0" applyNumberFormat="1" applyFont="1" applyAlignment="1">
      <alignment wrapText="1"/>
    </xf>
    <xf numFmtId="194" fontId="11" fillId="0" borderId="0" xfId="0" applyNumberFormat="1" applyFont="1" applyAlignment="1">
      <alignment/>
    </xf>
    <xf numFmtId="1" fontId="44" fillId="0" borderId="0" xfId="0" applyNumberFormat="1" applyFont="1" applyAlignment="1">
      <alignment/>
    </xf>
    <xf numFmtId="0" fontId="12" fillId="0" borderId="0" xfId="0" applyFont="1" applyAlignment="1" quotePrefix="1">
      <alignment horizontal="left"/>
    </xf>
    <xf numFmtId="2" fontId="13" fillId="0" borderId="0" xfId="0" applyNumberFormat="1" applyFont="1" applyBorder="1" applyAlignment="1">
      <alignment/>
    </xf>
    <xf numFmtId="0" fontId="2" fillId="0" borderId="0" xfId="0" applyFont="1" applyAlignment="1" quotePrefix="1">
      <alignment horizontal="left"/>
    </xf>
    <xf numFmtId="192" fontId="0" fillId="0" borderId="0" xfId="0" applyNumberFormat="1" applyFont="1" applyAlignment="1">
      <alignment/>
    </xf>
    <xf numFmtId="192" fontId="9" fillId="0" borderId="0" xfId="0" applyNumberFormat="1" applyFont="1" applyAlignment="1">
      <alignment/>
    </xf>
    <xf numFmtId="192" fontId="3" fillId="0" borderId="0" xfId="0" applyNumberFormat="1" applyFont="1" applyAlignment="1">
      <alignment/>
    </xf>
    <xf numFmtId="192" fontId="8" fillId="0" borderId="0" xfId="0" applyNumberFormat="1" applyFont="1" applyAlignment="1">
      <alignment/>
    </xf>
    <xf numFmtId="2" fontId="3" fillId="35" borderId="0" xfId="0" applyNumberFormat="1" applyFont="1" applyFill="1" applyAlignment="1">
      <alignment horizontal="right"/>
    </xf>
    <xf numFmtId="192" fontId="7" fillId="0" borderId="0" xfId="0" applyNumberFormat="1" applyFont="1" applyAlignment="1">
      <alignment/>
    </xf>
    <xf numFmtId="0" fontId="7" fillId="0" borderId="0" xfId="0" applyFont="1" applyAlignment="1">
      <alignment/>
    </xf>
    <xf numFmtId="2" fontId="39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right"/>
    </xf>
    <xf numFmtId="192" fontId="25" fillId="0" borderId="0" xfId="0" applyNumberFormat="1" applyFont="1" applyBorder="1" applyAlignment="1">
      <alignment horizontal="left"/>
    </xf>
    <xf numFmtId="0" fontId="13" fillId="0" borderId="0" xfId="0" applyFont="1" applyAlignment="1">
      <alignment horizontal="left"/>
    </xf>
    <xf numFmtId="1" fontId="0" fillId="0" borderId="0" xfId="0" applyNumberFormat="1" applyBorder="1" applyAlignment="1">
      <alignment/>
    </xf>
    <xf numFmtId="0" fontId="93" fillId="39" borderId="0" xfId="0" applyFont="1" applyFill="1" applyBorder="1" applyAlignment="1">
      <alignment horizontal="center"/>
    </xf>
    <xf numFmtId="192" fontId="4" fillId="0" borderId="0" xfId="0" applyNumberFormat="1" applyFont="1" applyAlignment="1">
      <alignment/>
    </xf>
    <xf numFmtId="2" fontId="0" fillId="0" borderId="0" xfId="0" applyNumberFormat="1" applyAlignment="1" quotePrefix="1">
      <alignment horizontal="right"/>
    </xf>
    <xf numFmtId="0" fontId="4" fillId="0" borderId="0" xfId="0" applyFont="1" applyAlignment="1">
      <alignment horizontal="center"/>
    </xf>
    <xf numFmtId="192" fontId="248" fillId="0" borderId="0" xfId="0" applyNumberFormat="1" applyFont="1" applyAlignment="1">
      <alignment horizontal="center"/>
    </xf>
    <xf numFmtId="192" fontId="0" fillId="0" borderId="0" xfId="0" applyNumberFormat="1" applyFont="1" applyBorder="1" applyAlignment="1" quotePrefix="1">
      <alignment horizontal="center"/>
    </xf>
    <xf numFmtId="192" fontId="0" fillId="0" borderId="0" xfId="0" applyNumberFormat="1" applyFont="1" applyBorder="1" applyAlignment="1">
      <alignment horizontal="center"/>
    </xf>
    <xf numFmtId="1" fontId="0" fillId="38" borderId="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3" fillId="0" borderId="10" xfId="0" applyFont="1" applyBorder="1" applyAlignment="1">
      <alignment horizontal="right"/>
    </xf>
    <xf numFmtId="192" fontId="12" fillId="0" borderId="0" xfId="0" applyNumberFormat="1" applyFont="1" applyBorder="1" applyAlignment="1">
      <alignment horizontal="center"/>
    </xf>
    <xf numFmtId="1" fontId="12" fillId="38" borderId="0" xfId="0" applyNumberFormat="1" applyFont="1" applyFill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2" fontId="233" fillId="0" borderId="0" xfId="0" applyNumberFormat="1" applyFont="1" applyAlignment="1" quotePrefix="1">
      <alignment horizontal="left"/>
    </xf>
    <xf numFmtId="2" fontId="183" fillId="0" borderId="0" xfId="0" applyNumberFormat="1" applyFont="1" applyAlignment="1">
      <alignment horizontal="left" indent="1"/>
    </xf>
    <xf numFmtId="2" fontId="0" fillId="0" borderId="27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 quotePrefix="1">
      <alignment/>
    </xf>
    <xf numFmtId="0" fontId="9" fillId="0" borderId="10" xfId="0" applyFont="1" applyBorder="1" applyAlignment="1">
      <alignment horizontal="right"/>
    </xf>
    <xf numFmtId="2" fontId="9" fillId="0" borderId="10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 quotePrefix="1">
      <alignment/>
    </xf>
    <xf numFmtId="2" fontId="25" fillId="0" borderId="0" xfId="0" applyNumberFormat="1" applyFont="1" applyBorder="1" applyAlignment="1">
      <alignment/>
    </xf>
    <xf numFmtId="0" fontId="24" fillId="0" borderId="0" xfId="0" applyFont="1" applyAlignment="1" quotePrefix="1">
      <alignment/>
    </xf>
    <xf numFmtId="2" fontId="11" fillId="0" borderId="10" xfId="0" applyNumberFormat="1" applyFont="1" applyBorder="1" applyAlignment="1">
      <alignment horizontal="right"/>
    </xf>
    <xf numFmtId="2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2" fontId="11" fillId="0" borderId="10" xfId="0" applyNumberFormat="1" applyFont="1" applyBorder="1" applyAlignment="1" quotePrefix="1">
      <alignment/>
    </xf>
    <xf numFmtId="0" fontId="12" fillId="0" borderId="10" xfId="0" applyFont="1" applyBorder="1" applyAlignment="1">
      <alignment horizontal="center"/>
    </xf>
    <xf numFmtId="2" fontId="39" fillId="0" borderId="0" xfId="0" applyNumberFormat="1" applyFont="1" applyAlignment="1">
      <alignment horizontal="right"/>
    </xf>
    <xf numFmtId="2" fontId="40" fillId="0" borderId="0" xfId="0" applyNumberFormat="1" applyFont="1" applyAlignment="1">
      <alignment/>
    </xf>
    <xf numFmtId="192" fontId="235" fillId="0" borderId="0" xfId="0" applyNumberFormat="1" applyFont="1" applyAlignment="1">
      <alignment horizontal="center"/>
    </xf>
    <xf numFmtId="192" fontId="6" fillId="0" borderId="0" xfId="0" applyNumberFormat="1" applyFont="1" applyBorder="1" applyAlignment="1">
      <alignment horizontal="left"/>
    </xf>
    <xf numFmtId="192" fontId="93" fillId="0" borderId="0" xfId="0" applyNumberFormat="1" applyFont="1" applyBorder="1" applyAlignment="1">
      <alignment horizontal="center"/>
    </xf>
    <xf numFmtId="1" fontId="93" fillId="0" borderId="0" xfId="0" applyNumberFormat="1" applyFont="1" applyBorder="1" applyAlignment="1">
      <alignment horizontal="center"/>
    </xf>
    <xf numFmtId="192" fontId="12" fillId="0" borderId="10" xfId="0" applyNumberFormat="1" applyFont="1" applyBorder="1" applyAlignment="1">
      <alignment horizontal="center"/>
    </xf>
    <xf numFmtId="192" fontId="93" fillId="0" borderId="10" xfId="0" applyNumberFormat="1" applyFont="1" applyBorder="1" applyAlignment="1">
      <alignment horizontal="center"/>
    </xf>
    <xf numFmtId="1" fontId="93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130" fillId="0" borderId="0" xfId="0" applyFont="1" applyAlignment="1">
      <alignment horizontal="right"/>
    </xf>
    <xf numFmtId="0" fontId="130" fillId="0" borderId="0" xfId="0" applyFont="1" applyAlignment="1" quotePrefix="1">
      <alignment/>
    </xf>
    <xf numFmtId="0" fontId="7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93" fillId="0" borderId="10" xfId="0" applyFont="1" applyBorder="1" applyAlignment="1">
      <alignment/>
    </xf>
    <xf numFmtId="0" fontId="3" fillId="0" borderId="0" xfId="0" applyFont="1" applyBorder="1" applyAlignment="1" quotePrefix="1">
      <alignment/>
    </xf>
    <xf numFmtId="0" fontId="4" fillId="0" borderId="10" xfId="0" applyFont="1" applyBorder="1" applyAlignment="1">
      <alignment horizontal="right"/>
    </xf>
    <xf numFmtId="2" fontId="4" fillId="0" borderId="10" xfId="0" applyNumberFormat="1" applyFont="1" applyBorder="1" applyAlignment="1">
      <alignment/>
    </xf>
    <xf numFmtId="2" fontId="25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2" fontId="34" fillId="0" borderId="0" xfId="0" applyNumberFormat="1" applyFont="1" applyAlignment="1">
      <alignment horizontal="right"/>
    </xf>
    <xf numFmtId="0" fontId="18" fillId="0" borderId="10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2" fontId="7" fillId="0" borderId="0" xfId="0" applyNumberFormat="1" applyFont="1" applyBorder="1" applyAlignment="1">
      <alignment/>
    </xf>
    <xf numFmtId="0" fontId="153" fillId="0" borderId="0" xfId="0" applyFont="1" applyBorder="1" applyAlignment="1">
      <alignment horizontal="center"/>
    </xf>
    <xf numFmtId="0" fontId="24" fillId="0" borderId="0" xfId="0" applyFont="1" applyAlignment="1" quotePrefix="1">
      <alignment/>
    </xf>
    <xf numFmtId="0" fontId="0" fillId="0" borderId="28" xfId="0" applyBorder="1" applyAlignment="1">
      <alignment/>
    </xf>
    <xf numFmtId="2" fontId="0" fillId="0" borderId="28" xfId="0" applyNumberFormat="1" applyBorder="1" applyAlignment="1">
      <alignment/>
    </xf>
    <xf numFmtId="0" fontId="0" fillId="0" borderId="28" xfId="0" applyFont="1" applyBorder="1" applyAlignment="1">
      <alignment/>
    </xf>
    <xf numFmtId="0" fontId="2" fillId="0" borderId="28" xfId="0" applyFont="1" applyBorder="1" applyAlignment="1">
      <alignment/>
    </xf>
    <xf numFmtId="2" fontId="12" fillId="0" borderId="28" xfId="0" applyNumberFormat="1" applyFont="1" applyBorder="1" applyAlignment="1">
      <alignment horizontal="right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/>
    </xf>
    <xf numFmtId="2" fontId="2" fillId="0" borderId="28" xfId="0" applyNumberFormat="1" applyFont="1" applyBorder="1" applyAlignment="1">
      <alignment/>
    </xf>
    <xf numFmtId="2" fontId="16" fillId="0" borderId="29" xfId="0" applyNumberFormat="1" applyFont="1" applyBorder="1" applyAlignment="1">
      <alignment horizontal="right"/>
    </xf>
    <xf numFmtId="2" fontId="20" fillId="0" borderId="31" xfId="0" applyNumberFormat="1" applyFont="1" applyBorder="1" applyAlignment="1">
      <alignment horizontal="right"/>
    </xf>
    <xf numFmtId="192" fontId="0" fillId="38" borderId="0" xfId="0" applyNumberFormat="1" applyFill="1" applyAlignment="1">
      <alignment horizontal="center"/>
    </xf>
    <xf numFmtId="0" fontId="1" fillId="0" borderId="0" xfId="0" applyFont="1" applyAlignment="1">
      <alignment horizontal="center"/>
    </xf>
    <xf numFmtId="2" fontId="99" fillId="0" borderId="0" xfId="0" applyNumberFormat="1" applyFont="1" applyAlignment="1">
      <alignment horizontal="right"/>
    </xf>
    <xf numFmtId="0" fontId="12" fillId="0" borderId="13" xfId="0" applyFont="1" applyBorder="1" applyAlignment="1">
      <alignment horizontal="center"/>
    </xf>
    <xf numFmtId="0" fontId="8" fillId="0" borderId="32" xfId="0" applyFont="1" applyBorder="1" applyAlignment="1">
      <alignment/>
    </xf>
    <xf numFmtId="2" fontId="7" fillId="0" borderId="0" xfId="0" applyNumberFormat="1" applyFont="1" applyAlignment="1">
      <alignment/>
    </xf>
    <xf numFmtId="2" fontId="130" fillId="0" borderId="0" xfId="0" applyNumberFormat="1" applyFont="1" applyAlignment="1">
      <alignment horizontal="right"/>
    </xf>
    <xf numFmtId="2" fontId="130" fillId="0" borderId="0" xfId="0" applyNumberFormat="1" applyFont="1" applyAlignment="1">
      <alignment/>
    </xf>
    <xf numFmtId="2" fontId="24" fillId="0" borderId="0" xfId="0" applyNumberFormat="1" applyFont="1" applyAlignment="1" quotePrefix="1">
      <alignment horizontal="right"/>
    </xf>
    <xf numFmtId="2" fontId="9" fillId="0" borderId="33" xfId="0" applyNumberFormat="1" applyFont="1" applyBorder="1" applyAlignment="1">
      <alignment/>
    </xf>
    <xf numFmtId="0" fontId="0" fillId="40" borderId="0" xfId="0" applyFill="1" applyAlignment="1">
      <alignment/>
    </xf>
    <xf numFmtId="192" fontId="93" fillId="0" borderId="0" xfId="0" applyNumberFormat="1" applyFont="1" applyBorder="1" applyAlignment="1" quotePrefix="1">
      <alignment horizontal="left"/>
    </xf>
    <xf numFmtId="0" fontId="120" fillId="0" borderId="0" xfId="47" applyAlignment="1" applyProtection="1">
      <alignment/>
      <protection/>
    </xf>
    <xf numFmtId="0" fontId="3" fillId="0" borderId="0" xfId="0" applyFont="1" applyBorder="1" applyAlignment="1" quotePrefix="1">
      <alignment/>
    </xf>
    <xf numFmtId="0" fontId="144" fillId="0" borderId="0" xfId="0" applyFont="1" applyAlignment="1">
      <alignment horizontal="right"/>
    </xf>
    <xf numFmtId="1" fontId="102" fillId="0" borderId="0" xfId="0" applyNumberFormat="1" applyFont="1" applyAlignment="1">
      <alignment/>
    </xf>
    <xf numFmtId="0" fontId="39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right"/>
    </xf>
    <xf numFmtId="2" fontId="23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2" fontId="22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4" fontId="15" fillId="0" borderId="11" xfId="0" applyNumberFormat="1" applyFont="1" applyBorder="1" applyAlignment="1">
      <alignment horizontal="center"/>
    </xf>
    <xf numFmtId="0" fontId="93" fillId="0" borderId="0" xfId="0" applyFont="1" applyAlignment="1" quotePrefix="1">
      <alignment horizontal="right"/>
    </xf>
    <xf numFmtId="192" fontId="6" fillId="0" borderId="0" xfId="0" applyNumberFormat="1" applyFont="1" applyBorder="1" applyAlignment="1" quotePrefix="1">
      <alignment horizontal="left"/>
    </xf>
    <xf numFmtId="2" fontId="40" fillId="0" borderId="0" xfId="0" applyNumberFormat="1" applyFont="1" applyBorder="1" applyAlignment="1">
      <alignment/>
    </xf>
    <xf numFmtId="0" fontId="1" fillId="0" borderId="34" xfId="0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1" fillId="0" borderId="37" xfId="0" applyFont="1" applyBorder="1" applyAlignment="1">
      <alignment horizontal="right"/>
    </xf>
    <xf numFmtId="2" fontId="0" fillId="0" borderId="38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211" fillId="0" borderId="0" xfId="0" applyNumberFormat="1" applyFont="1" applyAlignment="1">
      <alignment horizontal="right"/>
    </xf>
    <xf numFmtId="2" fontId="1" fillId="0" borderId="34" xfId="0" applyNumberFormat="1" applyFont="1" applyBorder="1" applyAlignment="1">
      <alignment horizontal="center"/>
    </xf>
    <xf numFmtId="2" fontId="1" fillId="0" borderId="36" xfId="0" applyNumberFormat="1" applyFont="1" applyBorder="1" applyAlignment="1">
      <alignment horizontal="right"/>
    </xf>
    <xf numFmtId="1" fontId="0" fillId="0" borderId="26" xfId="0" applyNumberFormat="1" applyFont="1" applyBorder="1" applyAlignment="1">
      <alignment horizontal="center"/>
    </xf>
    <xf numFmtId="2" fontId="1" fillId="0" borderId="37" xfId="0" applyNumberFormat="1" applyFont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1" fontId="0" fillId="0" borderId="38" xfId="0" applyNumberFormat="1" applyFont="1" applyBorder="1" applyAlignment="1">
      <alignment horizontal="center"/>
    </xf>
    <xf numFmtId="0" fontId="36" fillId="0" borderId="0" xfId="0" applyFont="1" applyAlignment="1">
      <alignment horizontal="right"/>
    </xf>
    <xf numFmtId="0" fontId="253" fillId="0" borderId="0" xfId="0" applyFont="1" applyAlignment="1">
      <alignment horizontal="right"/>
    </xf>
    <xf numFmtId="2" fontId="253" fillId="0" borderId="0" xfId="0" applyNumberFormat="1" applyFont="1" applyAlignment="1">
      <alignment/>
    </xf>
    <xf numFmtId="0" fontId="1" fillId="0" borderId="12" xfId="0" applyFont="1" applyBorder="1" applyAlignment="1">
      <alignment horizontal="center"/>
    </xf>
    <xf numFmtId="192" fontId="0" fillId="0" borderId="39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192" fontId="0" fillId="0" borderId="25" xfId="0" applyNumberFormat="1" applyFon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192" fontId="0" fillId="0" borderId="41" xfId="0" applyNumberFormat="1" applyFon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2" fontId="12" fillId="38" borderId="0" xfId="0" applyNumberFormat="1" applyFont="1" applyFill="1" applyAlignment="1">
      <alignment/>
    </xf>
    <xf numFmtId="0" fontId="6" fillId="0" borderId="0" xfId="0" applyFont="1" applyBorder="1" applyAlignment="1" quotePrefix="1">
      <alignment/>
    </xf>
    <xf numFmtId="192" fontId="254" fillId="0" borderId="0" xfId="0" applyNumberFormat="1" applyFont="1" applyAlignment="1">
      <alignment horizontal="center"/>
    </xf>
    <xf numFmtId="0" fontId="35" fillId="0" borderId="42" xfId="0" applyFont="1" applyBorder="1" applyAlignment="1">
      <alignment/>
    </xf>
    <xf numFmtId="0" fontId="9" fillId="0" borderId="43" xfId="0" applyFont="1" applyBorder="1" applyAlignment="1">
      <alignment/>
    </xf>
    <xf numFmtId="0" fontId="13" fillId="0" borderId="32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36" xfId="0" applyFont="1" applyBorder="1" applyAlignment="1">
      <alignment horizontal="right"/>
    </xf>
    <xf numFmtId="2" fontId="0" fillId="0" borderId="44" xfId="0" applyNumberFormat="1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38" xfId="0" applyFont="1" applyBorder="1" applyAlignment="1">
      <alignment/>
    </xf>
    <xf numFmtId="0" fontId="1" fillId="0" borderId="45" xfId="0" applyFont="1" applyBorder="1" applyAlignment="1">
      <alignment horizontal="center"/>
    </xf>
    <xf numFmtId="2" fontId="8" fillId="0" borderId="38" xfId="0" applyNumberFormat="1" applyFont="1" applyBorder="1" applyAlignment="1">
      <alignment horizontal="center"/>
    </xf>
    <xf numFmtId="0" fontId="0" fillId="0" borderId="45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9" xfId="0" applyFont="1" applyBorder="1" applyAlignment="1">
      <alignment/>
    </xf>
    <xf numFmtId="0" fontId="25" fillId="0" borderId="45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1" fillId="0" borderId="35" xfId="0" applyNumberFormat="1" applyFont="1" applyBorder="1" applyAlignment="1">
      <alignment horizontal="center"/>
    </xf>
    <xf numFmtId="0" fontId="1" fillId="0" borderId="45" xfId="0" applyFont="1" applyBorder="1" applyAlignment="1">
      <alignment horizontal="right"/>
    </xf>
    <xf numFmtId="0" fontId="0" fillId="0" borderId="17" xfId="0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2" fontId="19" fillId="0" borderId="25" xfId="0" applyNumberFormat="1" applyFont="1" applyBorder="1" applyAlignment="1">
      <alignment horizontal="center"/>
    </xf>
    <xf numFmtId="2" fontId="13" fillId="0" borderId="26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0" xfId="0" applyBorder="1" applyAlignment="1">
      <alignment horizontal="right"/>
    </xf>
    <xf numFmtId="2" fontId="25" fillId="0" borderId="0" xfId="0" applyNumberFormat="1" applyFont="1" applyAlignment="1" quotePrefix="1">
      <alignment horizontal="right"/>
    </xf>
    <xf numFmtId="2" fontId="1" fillId="0" borderId="0" xfId="0" applyNumberFormat="1" applyFont="1" applyBorder="1" applyAlignment="1">
      <alignment horizontal="center"/>
    </xf>
    <xf numFmtId="192" fontId="4" fillId="0" borderId="0" xfId="0" applyNumberFormat="1" applyFont="1" applyBorder="1" applyAlignment="1">
      <alignment horizontal="center"/>
    </xf>
    <xf numFmtId="192" fontId="93" fillId="0" borderId="0" xfId="0" applyNumberFormat="1" applyFont="1" applyBorder="1" applyAlignment="1">
      <alignment horizontal="left"/>
    </xf>
    <xf numFmtId="192" fontId="44" fillId="0" borderId="0" xfId="0" applyNumberFormat="1" applyFont="1" applyAlignment="1">
      <alignment/>
    </xf>
    <xf numFmtId="0" fontId="45" fillId="0" borderId="10" xfId="0" applyFont="1" applyBorder="1" applyAlignment="1">
      <alignment horizontal="right"/>
    </xf>
    <xf numFmtId="2" fontId="44" fillId="0" borderId="10" xfId="0" applyNumberFormat="1" applyFont="1" applyBorder="1" applyAlignment="1">
      <alignment horizontal="right"/>
    </xf>
    <xf numFmtId="192" fontId="44" fillId="0" borderId="10" xfId="0" applyNumberFormat="1" applyFont="1" applyBorder="1" applyAlignment="1">
      <alignment/>
    </xf>
    <xf numFmtId="0" fontId="44" fillId="0" borderId="10" xfId="0" applyFont="1" applyBorder="1" applyAlignment="1">
      <alignment/>
    </xf>
    <xf numFmtId="2" fontId="45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92" fontId="255" fillId="0" borderId="0" xfId="0" applyNumberFormat="1" applyFont="1" applyAlignment="1">
      <alignment/>
    </xf>
    <xf numFmtId="192" fontId="255" fillId="0" borderId="10" xfId="0" applyNumberFormat="1" applyFont="1" applyBorder="1" applyAlignment="1">
      <alignment/>
    </xf>
    <xf numFmtId="0" fontId="61" fillId="0" borderId="0" xfId="0" applyFont="1" applyAlignment="1">
      <alignment horizontal="right"/>
    </xf>
    <xf numFmtId="0" fontId="61" fillId="0" borderId="0" xfId="0" applyFont="1" applyAlignment="1">
      <alignment/>
    </xf>
    <xf numFmtId="0" fontId="256" fillId="0" borderId="0" xfId="0" applyFont="1" applyAlignment="1">
      <alignment horizontal="right"/>
    </xf>
    <xf numFmtId="0" fontId="39" fillId="0" borderId="0" xfId="0" applyFont="1" applyFill="1" applyAlignment="1">
      <alignment horizontal="center"/>
    </xf>
    <xf numFmtId="2" fontId="100" fillId="0" borderId="0" xfId="0" applyNumberFormat="1" applyFont="1" applyAlignment="1">
      <alignment/>
    </xf>
    <xf numFmtId="0" fontId="100" fillId="0" borderId="0" xfId="0" applyFont="1" applyAlignment="1" quotePrefix="1">
      <alignment/>
    </xf>
    <xf numFmtId="0" fontId="27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12" fillId="0" borderId="0" xfId="0" applyNumberFormat="1" applyFont="1" applyAlignment="1" quotePrefix="1">
      <alignment horizontal="center"/>
    </xf>
    <xf numFmtId="0" fontId="257" fillId="0" borderId="0" xfId="0" applyFont="1" applyAlignment="1">
      <alignment horizontal="right"/>
    </xf>
    <xf numFmtId="192" fontId="0" fillId="0" borderId="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92" fontId="4" fillId="38" borderId="0" xfId="0" applyNumberFormat="1" applyFont="1" applyFill="1" applyAlignment="1">
      <alignment horizontal="center"/>
    </xf>
    <xf numFmtId="192" fontId="4" fillId="38" borderId="0" xfId="0" applyNumberFormat="1" applyFont="1" applyFill="1" applyBorder="1" applyAlignment="1">
      <alignment horizontal="center"/>
    </xf>
    <xf numFmtId="1" fontId="4" fillId="38" borderId="0" xfId="0" applyNumberFormat="1" applyFont="1" applyFill="1" applyBorder="1" applyAlignment="1">
      <alignment horizontal="center"/>
    </xf>
    <xf numFmtId="1" fontId="4" fillId="38" borderId="0" xfId="0" applyNumberFormat="1" applyFont="1" applyFill="1" applyBorder="1" applyAlignment="1">
      <alignment horizontal="left"/>
    </xf>
    <xf numFmtId="192" fontId="16" fillId="35" borderId="0" xfId="0" applyNumberFormat="1" applyFont="1" applyFill="1" applyBorder="1" applyAlignment="1">
      <alignment horizontal="center"/>
    </xf>
    <xf numFmtId="1" fontId="16" fillId="35" borderId="0" xfId="0" applyNumberFormat="1" applyFont="1" applyFill="1" applyBorder="1" applyAlignment="1">
      <alignment horizontal="center"/>
    </xf>
    <xf numFmtId="1" fontId="16" fillId="35" borderId="0" xfId="0" applyNumberFormat="1" applyFont="1" applyFill="1" applyBorder="1" applyAlignment="1">
      <alignment horizontal="left"/>
    </xf>
    <xf numFmtId="2" fontId="20" fillId="38" borderId="0" xfId="0" applyNumberFormat="1" applyFont="1" applyFill="1" applyAlignment="1">
      <alignment/>
    </xf>
    <xf numFmtId="2" fontId="1" fillId="38" borderId="0" xfId="0" applyNumberFormat="1" applyFont="1" applyFill="1" applyAlignment="1">
      <alignment/>
    </xf>
    <xf numFmtId="2" fontId="16" fillId="38" borderId="0" xfId="0" applyNumberFormat="1" applyFont="1" applyFill="1" applyAlignment="1">
      <alignment/>
    </xf>
    <xf numFmtId="2" fontId="29" fillId="38" borderId="0" xfId="0" applyNumberFormat="1" applyFont="1" applyFill="1" applyAlignment="1">
      <alignment/>
    </xf>
    <xf numFmtId="2" fontId="25" fillId="38" borderId="0" xfId="0" applyNumberFormat="1" applyFont="1" applyFill="1" applyAlignment="1">
      <alignment/>
    </xf>
    <xf numFmtId="192" fontId="44" fillId="0" borderId="0" xfId="0" applyNumberFormat="1" applyFont="1" applyAlignment="1">
      <alignment horizontal="center"/>
    </xf>
    <xf numFmtId="1" fontId="44" fillId="38" borderId="0" xfId="0" applyNumberFormat="1" applyFont="1" applyFill="1" applyAlignment="1">
      <alignment horizontal="center"/>
    </xf>
    <xf numFmtId="1" fontId="44" fillId="0" borderId="0" xfId="0" applyNumberFormat="1" applyFont="1" applyAlignment="1">
      <alignment horizontal="center"/>
    </xf>
    <xf numFmtId="192" fontId="45" fillId="0" borderId="0" xfId="0" applyNumberFormat="1" applyFont="1" applyAlignment="1">
      <alignment/>
    </xf>
    <xf numFmtId="0" fontId="134" fillId="0" borderId="0" xfId="0" applyFont="1" applyAlignment="1">
      <alignment horizontal="right"/>
    </xf>
    <xf numFmtId="0" fontId="259" fillId="0" borderId="0" xfId="0" applyFont="1" applyAlignment="1">
      <alignment horizontal="right"/>
    </xf>
    <xf numFmtId="0" fontId="260" fillId="0" borderId="0" xfId="0" applyFont="1" applyAlignment="1">
      <alignment horizontal="right"/>
    </xf>
    <xf numFmtId="0" fontId="27" fillId="0" borderId="0" xfId="0" applyFont="1" applyAlignment="1" quotePrefix="1">
      <alignment/>
    </xf>
    <xf numFmtId="0" fontId="40" fillId="0" borderId="0" xfId="0" applyFont="1" applyAlignment="1">
      <alignment horizontal="right"/>
    </xf>
    <xf numFmtId="2" fontId="39" fillId="0" borderId="0" xfId="0" applyNumberFormat="1" applyFont="1" applyAlignment="1">
      <alignment horizontal="right"/>
    </xf>
    <xf numFmtId="2" fontId="39" fillId="0" borderId="0" xfId="0" applyNumberFormat="1" applyFont="1" applyAlignment="1">
      <alignment/>
    </xf>
    <xf numFmtId="1" fontId="39" fillId="0" borderId="0" xfId="0" applyNumberFormat="1" applyFont="1" applyAlignment="1">
      <alignment horizontal="right"/>
    </xf>
    <xf numFmtId="0" fontId="31" fillId="0" borderId="0" xfId="0" applyFont="1" applyBorder="1" applyAlignment="1">
      <alignment horizontal="right"/>
    </xf>
    <xf numFmtId="0" fontId="261" fillId="0" borderId="0" xfId="0" applyFont="1" applyAlignment="1">
      <alignment horizontal="right"/>
    </xf>
    <xf numFmtId="1" fontId="0" fillId="38" borderId="46" xfId="0" applyNumberFormat="1" applyFill="1" applyBorder="1" applyAlignment="1">
      <alignment horizontal="center"/>
    </xf>
    <xf numFmtId="192" fontId="0" fillId="0" borderId="46" xfId="0" applyNumberFormat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103" fillId="0" borderId="0" xfId="0" applyFont="1" applyAlignment="1" quotePrefix="1">
      <alignment/>
    </xf>
    <xf numFmtId="0" fontId="211" fillId="0" borderId="0" xfId="0" applyFont="1" applyAlignment="1" quotePrefix="1">
      <alignment/>
    </xf>
    <xf numFmtId="0" fontId="25" fillId="0" borderId="0" xfId="0" applyFont="1" applyBorder="1" applyAlignment="1">
      <alignment horizontal="right"/>
    </xf>
    <xf numFmtId="2" fontId="31" fillId="0" borderId="0" xfId="0" applyNumberFormat="1" applyFont="1" applyAlignment="1">
      <alignment/>
    </xf>
    <xf numFmtId="2" fontId="32" fillId="0" borderId="0" xfId="0" applyNumberFormat="1" applyFont="1" applyAlignment="1">
      <alignment/>
    </xf>
    <xf numFmtId="0" fontId="183" fillId="0" borderId="0" xfId="0" applyFont="1" applyAlignment="1">
      <alignment horizontal="right"/>
    </xf>
    <xf numFmtId="2" fontId="31" fillId="0" borderId="0" xfId="0" applyNumberFormat="1" applyFont="1" applyAlignment="1">
      <alignment horizontal="right"/>
    </xf>
    <xf numFmtId="0" fontId="93" fillId="0" borderId="0" xfId="0" applyFont="1" applyBorder="1" applyAlignment="1" quotePrefix="1">
      <alignment/>
    </xf>
    <xf numFmtId="0" fontId="44" fillId="0" borderId="0" xfId="0" applyFont="1" applyBorder="1" applyAlignment="1">
      <alignment horizontal="right"/>
    </xf>
    <xf numFmtId="2" fontId="44" fillId="0" borderId="0" xfId="0" applyNumberFormat="1" applyFont="1" applyBorder="1" applyAlignment="1">
      <alignment horizontal="right"/>
    </xf>
    <xf numFmtId="2" fontId="45" fillId="0" borderId="0" xfId="0" applyNumberFormat="1" applyFont="1" applyBorder="1" applyAlignment="1">
      <alignment/>
    </xf>
    <xf numFmtId="0" fontId="44" fillId="0" borderId="0" xfId="0" applyFont="1" applyBorder="1" applyAlignment="1">
      <alignment/>
    </xf>
    <xf numFmtId="2" fontId="44" fillId="0" borderId="0" xfId="0" applyNumberFormat="1" applyFont="1" applyBorder="1" applyAlignment="1">
      <alignment/>
    </xf>
    <xf numFmtId="0" fontId="2" fillId="0" borderId="0" xfId="0" applyFont="1" applyBorder="1" applyAlignment="1" quotePrefix="1">
      <alignment horizontal="right"/>
    </xf>
    <xf numFmtId="192" fontId="2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93" fillId="0" borderId="10" xfId="0" applyNumberFormat="1" applyFont="1" applyBorder="1" applyAlignment="1">
      <alignment horizontal="center"/>
    </xf>
    <xf numFmtId="2" fontId="14" fillId="0" borderId="0" xfId="0" applyNumberFormat="1" applyFont="1" applyAlignment="1">
      <alignment horizontal="right"/>
    </xf>
    <xf numFmtId="2" fontId="15" fillId="0" borderId="0" xfId="0" applyNumberFormat="1" applyFont="1" applyBorder="1" applyAlignment="1">
      <alignment/>
    </xf>
    <xf numFmtId="2" fontId="15" fillId="0" borderId="0" xfId="0" applyNumberFormat="1" applyFont="1" applyAlignment="1">
      <alignment/>
    </xf>
    <xf numFmtId="2" fontId="263" fillId="0" borderId="0" xfId="0" applyNumberFormat="1" applyFont="1" applyAlignment="1">
      <alignment/>
    </xf>
    <xf numFmtId="0" fontId="263" fillId="0" borderId="0" xfId="0" applyFont="1" applyAlignment="1">
      <alignment/>
    </xf>
    <xf numFmtId="0" fontId="32" fillId="0" borderId="0" xfId="0" applyFont="1" applyAlignment="1" quotePrefix="1">
      <alignment horizontal="right"/>
    </xf>
    <xf numFmtId="0" fontId="4" fillId="0" borderId="0" xfId="0" applyFont="1" applyAlignment="1" quotePrefix="1">
      <alignment horizontal="right"/>
    </xf>
    <xf numFmtId="1" fontId="1" fillId="0" borderId="0" xfId="0" applyNumberFormat="1" applyFont="1" applyAlignment="1" quotePrefix="1">
      <alignment horizontal="center"/>
    </xf>
    <xf numFmtId="192" fontId="0" fillId="0" borderId="0" xfId="0" applyNumberFormat="1" applyFont="1" applyAlignment="1">
      <alignment horizontal="center"/>
    </xf>
    <xf numFmtId="1" fontId="0" fillId="38" borderId="0" xfId="0" applyNumberFormat="1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2" fontId="31" fillId="38" borderId="0" xfId="0" applyNumberFormat="1" applyFont="1" applyFill="1" applyAlignment="1">
      <alignment/>
    </xf>
    <xf numFmtId="2" fontId="32" fillId="38" borderId="0" xfId="0" applyNumberFormat="1" applyFont="1" applyFill="1" applyAlignment="1">
      <alignment/>
    </xf>
    <xf numFmtId="2" fontId="2" fillId="0" borderId="0" xfId="0" applyNumberFormat="1" applyFont="1" applyAlignment="1" quotePrefix="1">
      <alignment horizontal="right"/>
    </xf>
    <xf numFmtId="0" fontId="252" fillId="0" borderId="0" xfId="0" applyFont="1" applyAlignment="1">
      <alignment horizontal="right"/>
    </xf>
    <xf numFmtId="0" fontId="241" fillId="0" borderId="0" xfId="0" applyFont="1" applyAlignment="1">
      <alignment horizontal="right"/>
    </xf>
    <xf numFmtId="2" fontId="235" fillId="0" borderId="0" xfId="0" applyNumberFormat="1" applyFont="1" applyAlignment="1">
      <alignment horizontal="right"/>
    </xf>
    <xf numFmtId="0" fontId="172" fillId="0" borderId="0" xfId="0" applyFont="1" applyAlignment="1">
      <alignment horizontal="right"/>
    </xf>
    <xf numFmtId="0" fontId="235" fillId="0" borderId="47" xfId="0" applyFont="1" applyBorder="1" applyAlignment="1">
      <alignment/>
    </xf>
    <xf numFmtId="192" fontId="244" fillId="0" borderId="0" xfId="0" applyNumberFormat="1" applyFont="1" applyAlignment="1">
      <alignment horizontal="center"/>
    </xf>
    <xf numFmtId="1" fontId="244" fillId="38" borderId="0" xfId="0" applyNumberFormat="1" applyFont="1" applyFill="1" applyAlignment="1">
      <alignment horizontal="center"/>
    </xf>
    <xf numFmtId="1" fontId="244" fillId="0" borderId="0" xfId="0" applyNumberFormat="1" applyFont="1" applyAlignment="1">
      <alignment horizontal="center"/>
    </xf>
    <xf numFmtId="0" fontId="244" fillId="0" borderId="48" xfId="0" applyFont="1" applyBorder="1" applyAlignment="1">
      <alignment/>
    </xf>
    <xf numFmtId="192" fontId="241" fillId="0" borderId="0" xfId="0" applyNumberFormat="1" applyFont="1" applyAlignment="1">
      <alignment horizontal="center"/>
    </xf>
    <xf numFmtId="0" fontId="264" fillId="0" borderId="0" xfId="0" applyFont="1" applyAlignment="1">
      <alignment horizontal="right"/>
    </xf>
    <xf numFmtId="2" fontId="254" fillId="0" borderId="0" xfId="0" applyNumberFormat="1" applyFont="1" applyAlignment="1">
      <alignment horizontal="right"/>
    </xf>
    <xf numFmtId="2" fontId="254" fillId="0" borderId="0" xfId="0" applyNumberFormat="1" applyFont="1" applyAlignment="1">
      <alignment/>
    </xf>
    <xf numFmtId="0" fontId="254" fillId="0" borderId="0" xfId="0" applyFont="1" applyAlignment="1">
      <alignment/>
    </xf>
    <xf numFmtId="0" fontId="265" fillId="0" borderId="0" xfId="0" applyFont="1" applyAlignment="1">
      <alignment horizontal="right"/>
    </xf>
    <xf numFmtId="2" fontId="248" fillId="0" borderId="0" xfId="0" applyNumberFormat="1" applyFont="1" applyAlignment="1">
      <alignment horizontal="right"/>
    </xf>
    <xf numFmtId="2" fontId="248" fillId="0" borderId="0" xfId="0" applyNumberFormat="1" applyFont="1" applyAlignment="1">
      <alignment/>
    </xf>
    <xf numFmtId="0" fontId="248" fillId="0" borderId="0" xfId="0" applyFont="1" applyAlignment="1">
      <alignment/>
    </xf>
    <xf numFmtId="0" fontId="151" fillId="0" borderId="0" xfId="0" applyFont="1" applyAlignment="1" quotePrefix="1">
      <alignment horizontal="right"/>
    </xf>
    <xf numFmtId="2" fontId="172" fillId="0" borderId="0" xfId="0" applyNumberFormat="1" applyFont="1" applyAlignment="1" quotePrefix="1">
      <alignment horizontal="center"/>
    </xf>
    <xf numFmtId="192" fontId="174" fillId="0" borderId="0" xfId="0" applyNumberFormat="1" applyFont="1" applyBorder="1" applyAlignment="1">
      <alignment horizontal="left"/>
    </xf>
    <xf numFmtId="0" fontId="267" fillId="0" borderId="0" xfId="0" applyFont="1" applyAlignment="1">
      <alignment horizontal="right"/>
    </xf>
    <xf numFmtId="2" fontId="264" fillId="0" borderId="0" xfId="0" applyNumberFormat="1" applyFont="1" applyAlignment="1">
      <alignment/>
    </xf>
    <xf numFmtId="0" fontId="254" fillId="0" borderId="0" xfId="0" applyFont="1" applyAlignment="1">
      <alignment horizontal="center"/>
    </xf>
    <xf numFmtId="0" fontId="94" fillId="0" borderId="0" xfId="0" applyFont="1" applyAlignment="1">
      <alignment horizontal="left"/>
    </xf>
    <xf numFmtId="192" fontId="175" fillId="0" borderId="0" xfId="0" applyNumberFormat="1" applyFont="1" applyAlignment="1">
      <alignment horizontal="center"/>
    </xf>
    <xf numFmtId="1" fontId="175" fillId="38" borderId="0" xfId="0" applyNumberFormat="1" applyFont="1" applyFill="1" applyAlignment="1">
      <alignment horizontal="center"/>
    </xf>
    <xf numFmtId="1" fontId="175" fillId="0" borderId="0" xfId="0" applyNumberFormat="1" applyFont="1" applyAlignment="1">
      <alignment horizontal="center"/>
    </xf>
    <xf numFmtId="2" fontId="183" fillId="0" borderId="0" xfId="0" applyNumberFormat="1" applyFont="1" applyAlignment="1">
      <alignment horizontal="right"/>
    </xf>
    <xf numFmtId="2" fontId="183" fillId="0" borderId="0" xfId="0" applyNumberFormat="1" applyFont="1" applyAlignment="1">
      <alignment/>
    </xf>
    <xf numFmtId="192" fontId="99" fillId="0" borderId="11" xfId="0" applyNumberFormat="1" applyFont="1" applyBorder="1" applyAlignment="1">
      <alignment horizontal="center"/>
    </xf>
    <xf numFmtId="1" fontId="99" fillId="0" borderId="0" xfId="0" applyNumberFormat="1" applyFont="1" applyAlignment="1">
      <alignment horizontal="center"/>
    </xf>
    <xf numFmtId="1" fontId="18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 quotePrefix="1">
      <alignment/>
    </xf>
    <xf numFmtId="192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92" fontId="0" fillId="0" borderId="0" xfId="0" applyNumberFormat="1" applyFont="1" applyBorder="1" applyAlignment="1">
      <alignment horizontal="center"/>
    </xf>
    <xf numFmtId="1" fontId="0" fillId="38" borderId="0" xfId="0" applyNumberFormat="1" applyFont="1" applyFill="1" applyBorder="1" applyAlignment="1">
      <alignment horizontal="center"/>
    </xf>
    <xf numFmtId="2" fontId="25" fillId="0" borderId="0" xfId="0" applyNumberFormat="1" applyFont="1" applyBorder="1" applyAlignment="1">
      <alignment/>
    </xf>
    <xf numFmtId="2" fontId="93" fillId="0" borderId="0" xfId="0" applyNumberFormat="1" applyFont="1" applyBorder="1" applyAlignment="1">
      <alignment horizontal="center"/>
    </xf>
    <xf numFmtId="0" fontId="93" fillId="0" borderId="0" xfId="0" applyFont="1" applyBorder="1" applyAlignment="1">
      <alignment/>
    </xf>
    <xf numFmtId="2" fontId="4" fillId="0" borderId="0" xfId="0" applyNumberFormat="1" applyFont="1" applyAlignment="1">
      <alignment horizontal="center"/>
    </xf>
    <xf numFmtId="0" fontId="59" fillId="0" borderId="0" xfId="0" applyFont="1" applyAlignment="1">
      <alignment/>
    </xf>
    <xf numFmtId="0" fontId="59" fillId="0" borderId="49" xfId="0" applyFont="1" applyBorder="1" applyAlignment="1">
      <alignment horizontal="center"/>
    </xf>
    <xf numFmtId="0" fontId="59" fillId="0" borderId="50" xfId="0" applyFont="1" applyBorder="1" applyAlignment="1">
      <alignment horizontal="center"/>
    </xf>
    <xf numFmtId="1" fontId="59" fillId="0" borderId="51" xfId="0" applyNumberFormat="1" applyFont="1" applyBorder="1" applyAlignment="1">
      <alignment horizontal="center"/>
    </xf>
    <xf numFmtId="0" fontId="0" fillId="0" borderId="52" xfId="0" applyBorder="1" applyAlignment="1">
      <alignment horizontal="center"/>
    </xf>
    <xf numFmtId="1" fontId="0" fillId="0" borderId="53" xfId="0" applyNumberFormat="1" applyBorder="1" applyAlignment="1">
      <alignment horizontal="center"/>
    </xf>
    <xf numFmtId="0" fontId="0" fillId="0" borderId="54" xfId="0" applyBorder="1" applyAlignment="1">
      <alignment horizontal="center"/>
    </xf>
    <xf numFmtId="1" fontId="0" fillId="0" borderId="55" xfId="0" applyNumberForma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1" fontId="0" fillId="0" borderId="58" xfId="0" applyNumberFormat="1" applyBorder="1" applyAlignment="1">
      <alignment horizontal="center"/>
    </xf>
    <xf numFmtId="2" fontId="0" fillId="0" borderId="0" xfId="0" applyNumberFormat="1" applyAlignment="1" quotePrefix="1">
      <alignment horizontal="center"/>
    </xf>
    <xf numFmtId="2" fontId="39" fillId="0" borderId="0" xfId="0" applyNumberFormat="1" applyFont="1" applyBorder="1" applyAlignment="1">
      <alignment/>
    </xf>
    <xf numFmtId="0" fontId="40" fillId="0" borderId="0" xfId="0" applyFont="1" applyAlignment="1">
      <alignment/>
    </xf>
    <xf numFmtId="2" fontId="268" fillId="0" borderId="0" xfId="0" applyNumberFormat="1" applyFont="1" applyAlignment="1">
      <alignment horizontal="right"/>
    </xf>
    <xf numFmtId="2" fontId="268" fillId="0" borderId="0" xfId="0" applyNumberFormat="1" applyFont="1" applyAlignment="1">
      <alignment/>
    </xf>
    <xf numFmtId="0" fontId="268" fillId="0" borderId="0" xfId="0" applyFont="1" applyAlignment="1">
      <alignment/>
    </xf>
    <xf numFmtId="0" fontId="96" fillId="0" borderId="0" xfId="0" applyFont="1" applyAlignment="1">
      <alignment/>
    </xf>
    <xf numFmtId="0" fontId="0" fillId="0" borderId="0" xfId="0" applyAlignment="1">
      <alignment horizontal="right" indent="1"/>
    </xf>
    <xf numFmtId="1" fontId="0" fillId="0" borderId="25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8" xfId="0" applyBorder="1" applyAlignment="1">
      <alignment horizontal="center"/>
    </xf>
    <xf numFmtId="1" fontId="0" fillId="0" borderId="50" xfId="0" applyNumberForma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6" xfId="0" applyBorder="1" applyAlignment="1">
      <alignment horizontal="right" indent="1"/>
    </xf>
    <xf numFmtId="1" fontId="0" fillId="0" borderId="57" xfId="0" applyNumberFormat="1" applyBorder="1" applyAlignment="1">
      <alignment horizontal="center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 horizontal="right" indent="1"/>
    </xf>
    <xf numFmtId="0" fontId="1" fillId="0" borderId="60" xfId="0" applyFont="1" applyBorder="1" applyAlignment="1">
      <alignment horizontal="right" indent="1"/>
    </xf>
    <xf numFmtId="0" fontId="0" fillId="0" borderId="61" xfId="0" applyBorder="1" applyAlignment="1">
      <alignment horizontal="right" indent="1"/>
    </xf>
    <xf numFmtId="0" fontId="0" fillId="0" borderId="62" xfId="0" applyBorder="1" applyAlignment="1">
      <alignment horizontal="right" indent="1"/>
    </xf>
    <xf numFmtId="1" fontId="0" fillId="0" borderId="63" xfId="0" applyNumberFormat="1" applyBorder="1" applyAlignment="1">
      <alignment horizontal="center"/>
    </xf>
    <xf numFmtId="1" fontId="0" fillId="0" borderId="64" xfId="0" applyNumberFormat="1" applyBorder="1" applyAlignment="1">
      <alignment horizontal="center"/>
    </xf>
    <xf numFmtId="1" fontId="0" fillId="0" borderId="65" xfId="0" applyNumberFormat="1" applyBorder="1" applyAlignment="1">
      <alignment horizontal="center"/>
    </xf>
    <xf numFmtId="1" fontId="0" fillId="0" borderId="66" xfId="0" applyNumberFormat="1" applyBorder="1" applyAlignment="1">
      <alignment horizontal="center"/>
    </xf>
    <xf numFmtId="1" fontId="0" fillId="0" borderId="67" xfId="0" applyNumberFormat="1" applyBorder="1" applyAlignment="1">
      <alignment horizontal="center"/>
    </xf>
    <xf numFmtId="1" fontId="0" fillId="0" borderId="68" xfId="0" applyNumberFormat="1" applyBorder="1" applyAlignment="1">
      <alignment horizontal="center"/>
    </xf>
    <xf numFmtId="1" fontId="0" fillId="0" borderId="69" xfId="0" applyNumberFormat="1" applyBorder="1" applyAlignment="1">
      <alignment horizontal="center"/>
    </xf>
    <xf numFmtId="0" fontId="0" fillId="0" borderId="70" xfId="0" applyBorder="1" applyAlignment="1">
      <alignment horizontal="right" indent="1"/>
    </xf>
    <xf numFmtId="1" fontId="0" fillId="0" borderId="71" xfId="0" applyNumberFormat="1" applyBorder="1" applyAlignment="1">
      <alignment horizontal="center"/>
    </xf>
    <xf numFmtId="2" fontId="252" fillId="0" borderId="0" xfId="0" applyNumberFormat="1" applyFont="1" applyAlignment="1" quotePrefix="1">
      <alignment horizontal="right"/>
    </xf>
    <xf numFmtId="2" fontId="252" fillId="0" borderId="0" xfId="0" applyNumberFormat="1" applyFont="1" applyAlignment="1">
      <alignment/>
    </xf>
    <xf numFmtId="0" fontId="252" fillId="0" borderId="0" xfId="0" applyFont="1" applyAlignment="1">
      <alignment/>
    </xf>
    <xf numFmtId="2" fontId="240" fillId="0" borderId="0" xfId="0" applyNumberFormat="1" applyFont="1" applyAlignment="1" quotePrefix="1">
      <alignment horizontal="right"/>
    </xf>
    <xf numFmtId="2" fontId="240" fillId="0" borderId="0" xfId="0" applyNumberFormat="1" applyFont="1" applyAlignment="1">
      <alignment/>
    </xf>
    <xf numFmtId="0" fontId="240" fillId="0" borderId="0" xfId="0" applyFont="1" applyAlignment="1">
      <alignment/>
    </xf>
    <xf numFmtId="192" fontId="183" fillId="0" borderId="0" xfId="0" applyNumberFormat="1" applyFont="1" applyAlignment="1">
      <alignment horizontal="center"/>
    </xf>
    <xf numFmtId="1" fontId="183" fillId="38" borderId="0" xfId="0" applyNumberFormat="1" applyFont="1" applyFill="1" applyAlignment="1">
      <alignment horizontal="center"/>
    </xf>
    <xf numFmtId="1" fontId="183" fillId="0" borderId="0" xfId="0" applyNumberFormat="1" applyFont="1" applyAlignment="1">
      <alignment horizontal="center"/>
    </xf>
    <xf numFmtId="0" fontId="98" fillId="0" borderId="0" xfId="0" applyFont="1" applyBorder="1" applyAlignment="1">
      <alignment horizontal="right"/>
    </xf>
    <xf numFmtId="1" fontId="0" fillId="0" borderId="47" xfId="0" applyNumberFormat="1" applyBorder="1" applyAlignment="1">
      <alignment horizontal="center"/>
    </xf>
    <xf numFmtId="1" fontId="0" fillId="0" borderId="48" xfId="0" applyNumberFormat="1" applyBorder="1" applyAlignment="1">
      <alignment horizontal="center"/>
    </xf>
    <xf numFmtId="2" fontId="25" fillId="0" borderId="0" xfId="0" applyNumberFormat="1" applyFont="1" applyBorder="1" applyAlignment="1">
      <alignment horizontal="right"/>
    </xf>
    <xf numFmtId="192" fontId="62" fillId="0" borderId="0" xfId="0" applyNumberFormat="1" applyFont="1" applyAlignment="1">
      <alignment horizontal="center"/>
    </xf>
    <xf numFmtId="1" fontId="62" fillId="38" borderId="0" xfId="0" applyNumberFormat="1" applyFont="1" applyFill="1" applyAlignment="1">
      <alignment horizontal="center"/>
    </xf>
    <xf numFmtId="1" fontId="62" fillId="0" borderId="0" xfId="0" applyNumberFormat="1" applyFont="1" applyAlignment="1">
      <alignment horizontal="center"/>
    </xf>
    <xf numFmtId="0" fontId="269" fillId="0" borderId="0" xfId="0" applyFont="1" applyAlignment="1">
      <alignment horizontal="right"/>
    </xf>
    <xf numFmtId="2" fontId="269" fillId="0" borderId="0" xfId="0" applyNumberFormat="1" applyFont="1" applyAlignment="1">
      <alignment horizontal="right"/>
    </xf>
    <xf numFmtId="2" fontId="269" fillId="0" borderId="0" xfId="0" applyNumberFormat="1" applyFont="1" applyAlignment="1">
      <alignment/>
    </xf>
    <xf numFmtId="0" fontId="269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 horizontal="center"/>
    </xf>
    <xf numFmtId="0" fontId="270" fillId="0" borderId="0" xfId="0" applyFont="1" applyAlignment="1">
      <alignment horizontal="right"/>
    </xf>
    <xf numFmtId="2" fontId="270" fillId="0" borderId="0" xfId="0" applyNumberFormat="1" applyFont="1" applyAlignment="1">
      <alignment horizontal="right"/>
    </xf>
    <xf numFmtId="2" fontId="270" fillId="0" borderId="0" xfId="0" applyNumberFormat="1" applyFont="1" applyAlignment="1">
      <alignment/>
    </xf>
    <xf numFmtId="0" fontId="270" fillId="0" borderId="0" xfId="0" applyFont="1" applyAlignment="1">
      <alignment/>
    </xf>
    <xf numFmtId="0" fontId="268" fillId="0" borderId="0" xfId="0" applyFont="1" applyAlignment="1">
      <alignment horizontal="right"/>
    </xf>
    <xf numFmtId="2" fontId="3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/>
    </xf>
    <xf numFmtId="192" fontId="93" fillId="0" borderId="0" xfId="0" applyNumberFormat="1" applyFont="1" applyBorder="1" applyAlignment="1" quotePrefix="1">
      <alignment horizontal="left"/>
    </xf>
    <xf numFmtId="2" fontId="151" fillId="0" borderId="0" xfId="0" applyNumberFormat="1" applyFont="1" applyAlignment="1">
      <alignment horizontal="right"/>
    </xf>
    <xf numFmtId="2" fontId="151" fillId="0" borderId="0" xfId="0" applyNumberFormat="1" applyFont="1" applyAlignment="1">
      <alignment/>
    </xf>
    <xf numFmtId="2" fontId="16" fillId="0" borderId="0" xfId="0" applyNumberFormat="1" applyFont="1" applyAlignment="1" quotePrefix="1">
      <alignment/>
    </xf>
    <xf numFmtId="14" fontId="2" fillId="0" borderId="13" xfId="0" applyNumberFormat="1" applyFont="1" applyBorder="1" applyAlignment="1">
      <alignment horizontal="center"/>
    </xf>
    <xf numFmtId="14" fontId="12" fillId="0" borderId="13" xfId="0" applyNumberFormat="1" applyFont="1" applyBorder="1" applyAlignment="1">
      <alignment horizontal="center"/>
    </xf>
    <xf numFmtId="0" fontId="19" fillId="0" borderId="0" xfId="0" applyFont="1" applyAlignment="1" quotePrefix="1">
      <alignment/>
    </xf>
    <xf numFmtId="0" fontId="19" fillId="0" borderId="0" xfId="0" applyFont="1" applyAlignment="1">
      <alignment/>
    </xf>
    <xf numFmtId="0" fontId="44" fillId="0" borderId="0" xfId="0" applyFont="1" applyBorder="1" applyAlignment="1" quotePrefix="1">
      <alignment horizontal="right"/>
    </xf>
    <xf numFmtId="2" fontId="25" fillId="0" borderId="0" xfId="0" applyNumberFormat="1" applyFont="1" applyAlignment="1">
      <alignment wrapText="1"/>
    </xf>
    <xf numFmtId="0" fontId="8" fillId="39" borderId="0" xfId="0" applyNumberFormat="1" applyFont="1" applyFill="1" applyAlignment="1">
      <alignment horizontal="left"/>
    </xf>
    <xf numFmtId="1" fontId="8" fillId="39" borderId="0" xfId="0" applyNumberFormat="1" applyFont="1" applyFill="1" applyAlignment="1">
      <alignment horizontal="center"/>
    </xf>
    <xf numFmtId="1" fontId="13" fillId="39" borderId="0" xfId="0" applyNumberFormat="1" applyFont="1" applyFill="1" applyAlignment="1">
      <alignment horizontal="center"/>
    </xf>
    <xf numFmtId="1" fontId="0" fillId="39" borderId="0" xfId="0" applyNumberFormat="1" applyFont="1" applyFill="1" applyAlignment="1">
      <alignment horizontal="center"/>
    </xf>
    <xf numFmtId="1" fontId="0" fillId="39" borderId="0" xfId="0" applyNumberFormat="1" applyFill="1" applyAlignment="1">
      <alignment horizontal="center"/>
    </xf>
    <xf numFmtId="1" fontId="9" fillId="39" borderId="0" xfId="0" applyNumberFormat="1" applyFont="1" applyFill="1" applyAlignment="1">
      <alignment horizontal="center"/>
    </xf>
    <xf numFmtId="1" fontId="0" fillId="39" borderId="46" xfId="0" applyNumberFormat="1" applyFill="1" applyBorder="1" applyAlignment="1">
      <alignment horizontal="center"/>
    </xf>
    <xf numFmtId="192" fontId="93" fillId="39" borderId="0" xfId="0" applyNumberFormat="1" applyFont="1" applyFill="1" applyAlignment="1">
      <alignment horizontal="center"/>
    </xf>
    <xf numFmtId="192" fontId="0" fillId="39" borderId="0" xfId="0" applyNumberFormat="1" applyFont="1" applyFill="1" applyAlignment="1">
      <alignment horizontal="center"/>
    </xf>
    <xf numFmtId="1" fontId="18" fillId="39" borderId="0" xfId="0" applyNumberFormat="1" applyFont="1" applyFill="1" applyAlignment="1">
      <alignment horizontal="center"/>
    </xf>
    <xf numFmtId="192" fontId="9" fillId="39" borderId="0" xfId="0" applyNumberFormat="1" applyFont="1" applyFill="1" applyAlignment="1">
      <alignment horizontal="center"/>
    </xf>
    <xf numFmtId="192" fontId="0" fillId="39" borderId="0" xfId="0" applyNumberFormat="1" applyFill="1" applyAlignment="1">
      <alignment horizontal="center"/>
    </xf>
    <xf numFmtId="1" fontId="18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45" fillId="0" borderId="0" xfId="0" applyFont="1" applyAlignment="1" quotePrefix="1">
      <alignment/>
    </xf>
    <xf numFmtId="1" fontId="6" fillId="0" borderId="0" xfId="0" applyNumberFormat="1" applyFont="1" applyBorder="1" applyAlignment="1">
      <alignment horizontal="center"/>
    </xf>
    <xf numFmtId="0" fontId="271" fillId="0" borderId="0" xfId="0" applyFont="1" applyAlignment="1">
      <alignment horizontal="right"/>
    </xf>
    <xf numFmtId="0" fontId="102" fillId="0" borderId="0" xfId="0" applyFont="1" applyAlignment="1">
      <alignment horizontal="right"/>
    </xf>
    <xf numFmtId="2" fontId="190" fillId="0" borderId="0" xfId="0" applyNumberFormat="1" applyFont="1" applyAlignment="1" quotePrefix="1">
      <alignment horizontal="right"/>
    </xf>
    <xf numFmtId="2" fontId="190" fillId="0" borderId="0" xfId="0" applyNumberFormat="1" applyFont="1" applyAlignment="1">
      <alignment/>
    </xf>
    <xf numFmtId="0" fontId="190" fillId="0" borderId="0" xfId="0" applyFont="1" applyAlignment="1">
      <alignment/>
    </xf>
    <xf numFmtId="0" fontId="205" fillId="0" borderId="0" xfId="0" applyFont="1" applyAlignment="1">
      <alignment horizontal="right"/>
    </xf>
    <xf numFmtId="0" fontId="81" fillId="0" borderId="0" xfId="0" applyFont="1" applyAlignment="1">
      <alignment horizontal="right"/>
    </xf>
    <xf numFmtId="0" fontId="81" fillId="0" borderId="0" xfId="0" applyFont="1" applyAlignment="1">
      <alignment/>
    </xf>
    <xf numFmtId="0" fontId="1" fillId="0" borderId="0" xfId="0" applyFont="1" applyAlignment="1">
      <alignment horizontal="right" indent="1"/>
    </xf>
    <xf numFmtId="0" fontId="1" fillId="0" borderId="10" xfId="0" applyFont="1" applyBorder="1" applyAlignment="1">
      <alignment horizontal="right" indent="1"/>
    </xf>
    <xf numFmtId="0" fontId="1" fillId="0" borderId="10" xfId="0" applyFont="1" applyBorder="1" applyAlignment="1">
      <alignment/>
    </xf>
    <xf numFmtId="1" fontId="4" fillId="0" borderId="0" xfId="0" applyNumberFormat="1" applyFont="1" applyAlignment="1">
      <alignment horizontal="center"/>
    </xf>
    <xf numFmtId="192" fontId="6" fillId="0" borderId="0" xfId="0" applyNumberFormat="1" applyFont="1" applyBorder="1" applyAlignment="1" quotePrefix="1">
      <alignment horizontal="left"/>
    </xf>
    <xf numFmtId="0" fontId="33" fillId="0" borderId="0" xfId="0" applyFont="1" applyAlignment="1">
      <alignment horizontal="right"/>
    </xf>
    <xf numFmtId="0" fontId="42" fillId="0" borderId="0" xfId="0" applyFont="1" applyAlignment="1">
      <alignment/>
    </xf>
    <xf numFmtId="2" fontId="20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  <xf numFmtId="1" fontId="2" fillId="0" borderId="0" xfId="0" applyNumberFormat="1" applyFont="1" applyAlignment="1">
      <alignment horizontal="right"/>
    </xf>
    <xf numFmtId="2" fontId="183" fillId="0" borderId="0" xfId="0" applyNumberFormat="1" applyFont="1" applyAlignment="1" quotePrefix="1">
      <alignment horizontal="left" indent="1"/>
    </xf>
    <xf numFmtId="0" fontId="3" fillId="0" borderId="0" xfId="0" applyFont="1" applyAlignment="1" quotePrefix="1">
      <alignment/>
    </xf>
    <xf numFmtId="2" fontId="244" fillId="0" borderId="0" xfId="0" applyNumberFormat="1" applyFont="1" applyAlignment="1" quotePrefix="1">
      <alignment horizontal="right"/>
    </xf>
    <xf numFmtId="2" fontId="244" fillId="0" borderId="0" xfId="0" applyNumberFormat="1" applyFont="1" applyAlignment="1">
      <alignment/>
    </xf>
    <xf numFmtId="0" fontId="244" fillId="0" borderId="0" xfId="0" applyFont="1" applyAlignment="1">
      <alignment/>
    </xf>
    <xf numFmtId="192" fontId="39" fillId="0" borderId="0" xfId="0" applyNumberFormat="1" applyFont="1" applyAlignment="1">
      <alignment horizontal="center"/>
    </xf>
    <xf numFmtId="1" fontId="40" fillId="38" borderId="0" xfId="0" applyNumberFormat="1" applyFont="1" applyFill="1" applyAlignment="1">
      <alignment horizontal="center"/>
    </xf>
    <xf numFmtId="1" fontId="39" fillId="0" borderId="0" xfId="0" applyNumberFormat="1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 quotePrefix="1">
      <alignment/>
    </xf>
    <xf numFmtId="194" fontId="44" fillId="0" borderId="0" xfId="0" applyNumberFormat="1" applyFont="1" applyAlignment="1">
      <alignment/>
    </xf>
    <xf numFmtId="2" fontId="6" fillId="0" borderId="0" xfId="0" applyNumberFormat="1" applyFont="1" applyAlignment="1" quotePrefix="1">
      <alignment horizontal="center"/>
    </xf>
    <xf numFmtId="1" fontId="2" fillId="0" borderId="0" xfId="0" applyNumberFormat="1" applyFont="1" applyAlignment="1">
      <alignment/>
    </xf>
    <xf numFmtId="194" fontId="2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Border="1" applyAlignment="1">
      <alignment/>
    </xf>
    <xf numFmtId="0" fontId="0" fillId="0" borderId="0" xfId="0" applyFont="1" applyAlignment="1" quotePrefix="1">
      <alignment/>
    </xf>
    <xf numFmtId="0" fontId="12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right"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163" fillId="33" borderId="0" xfId="0" applyFont="1" applyFill="1" applyBorder="1" applyAlignment="1">
      <alignment horizontal="right"/>
    </xf>
    <xf numFmtId="0" fontId="20" fillId="0" borderId="0" xfId="0" applyFont="1" applyFill="1" applyAlignment="1">
      <alignment horizontal="right"/>
    </xf>
    <xf numFmtId="2" fontId="13" fillId="0" borderId="0" xfId="0" applyNumberFormat="1" applyFont="1" applyFill="1" applyAlignment="1">
      <alignment horizontal="right"/>
    </xf>
    <xf numFmtId="2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2" fontId="20" fillId="0" borderId="0" xfId="0" applyNumberFormat="1" applyFont="1" applyAlignment="1" quotePrefix="1">
      <alignment horizontal="right"/>
    </xf>
    <xf numFmtId="192" fontId="8" fillId="0" borderId="10" xfId="0" applyNumberFormat="1" applyFont="1" applyBorder="1" applyAlignment="1" quotePrefix="1">
      <alignment horizontal="left"/>
    </xf>
    <xf numFmtId="0" fontId="57" fillId="0" borderId="10" xfId="0" applyFont="1" applyBorder="1" applyAlignment="1">
      <alignment horizontal="right"/>
    </xf>
    <xf numFmtId="0" fontId="263" fillId="0" borderId="0" xfId="0" applyFont="1" applyAlignment="1">
      <alignment horizontal="right"/>
    </xf>
    <xf numFmtId="192" fontId="3" fillId="0" borderId="0" xfId="0" applyNumberFormat="1" applyFont="1" applyBorder="1" applyAlignment="1" quotePrefix="1">
      <alignment horizontal="left"/>
    </xf>
    <xf numFmtId="192" fontId="3" fillId="0" borderId="0" xfId="0" applyNumberFormat="1" applyFont="1" applyBorder="1" applyAlignment="1">
      <alignment horizontal="left"/>
    </xf>
    <xf numFmtId="0" fontId="245" fillId="0" borderId="10" xfId="0" applyFont="1" applyBorder="1" applyAlignment="1">
      <alignment horizontal="right"/>
    </xf>
    <xf numFmtId="192" fontId="3" fillId="0" borderId="10" xfId="0" applyNumberFormat="1" applyFont="1" applyBorder="1" applyAlignment="1" quotePrefix="1">
      <alignment horizontal="left"/>
    </xf>
    <xf numFmtId="2" fontId="3" fillId="0" borderId="10" xfId="0" applyNumberFormat="1" applyFont="1" applyBorder="1" applyAlignment="1">
      <alignment horizontal="right"/>
    </xf>
    <xf numFmtId="0" fontId="273" fillId="0" borderId="0" xfId="0" applyFont="1" applyAlignment="1">
      <alignment horizontal="right"/>
    </xf>
    <xf numFmtId="0" fontId="31" fillId="0" borderId="1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14" fontId="262" fillId="0" borderId="0" xfId="0" applyNumberFormat="1" applyFont="1" applyAlignment="1">
      <alignment horizontal="center"/>
    </xf>
    <xf numFmtId="1" fontId="42" fillId="0" borderId="0" xfId="0" applyNumberFormat="1" applyFont="1" applyAlignment="1">
      <alignment horizontal="center"/>
    </xf>
    <xf numFmtId="0" fontId="25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1" fillId="0" borderId="0" xfId="0" applyFont="1" applyFill="1" applyAlignment="1">
      <alignment horizontal="center"/>
    </xf>
    <xf numFmtId="2" fontId="25" fillId="0" borderId="0" xfId="0" applyNumberFormat="1" applyFont="1" applyFill="1" applyAlignment="1">
      <alignment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74" fillId="0" borderId="0" xfId="0" applyFont="1" applyAlignment="1">
      <alignment horizontal="right"/>
    </xf>
    <xf numFmtId="2" fontId="274" fillId="0" borderId="0" xfId="0" applyNumberFormat="1" applyFont="1" applyAlignment="1">
      <alignment horizontal="right"/>
    </xf>
    <xf numFmtId="2" fontId="274" fillId="0" borderId="0" xfId="0" applyNumberFormat="1" applyFont="1" applyAlignment="1">
      <alignment/>
    </xf>
    <xf numFmtId="0" fontId="274" fillId="0" borderId="0" xfId="0" applyFont="1" applyAlignment="1">
      <alignment/>
    </xf>
    <xf numFmtId="0" fontId="274" fillId="0" borderId="10" xfId="0" applyFont="1" applyBorder="1" applyAlignment="1">
      <alignment horizontal="right"/>
    </xf>
    <xf numFmtId="2" fontId="274" fillId="0" borderId="10" xfId="0" applyNumberFormat="1" applyFont="1" applyBorder="1" applyAlignment="1">
      <alignment horizontal="right"/>
    </xf>
    <xf numFmtId="2" fontId="274" fillId="0" borderId="10" xfId="0" applyNumberFormat="1" applyFont="1" applyBorder="1" applyAlignment="1">
      <alignment/>
    </xf>
    <xf numFmtId="0" fontId="274" fillId="0" borderId="10" xfId="0" applyFont="1" applyBorder="1" applyAlignment="1">
      <alignment/>
    </xf>
    <xf numFmtId="0" fontId="276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12" fillId="36" borderId="0" xfId="0" applyFont="1" applyFill="1" applyAlignment="1">
      <alignment/>
    </xf>
    <xf numFmtId="0" fontId="38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194" fontId="8" fillId="0" borderId="0" xfId="0" applyNumberFormat="1" applyFont="1" applyAlignment="1">
      <alignment/>
    </xf>
    <xf numFmtId="0" fontId="0" fillId="0" borderId="34" xfId="0" applyBorder="1" applyAlignment="1">
      <alignment/>
    </xf>
    <xf numFmtId="1" fontId="4" fillId="0" borderId="72" xfId="0" applyNumberFormat="1" applyFont="1" applyBorder="1" applyAlignment="1">
      <alignment horizontal="center"/>
    </xf>
    <xf numFmtId="1" fontId="4" fillId="0" borderId="37" xfId="0" applyNumberFormat="1" applyFont="1" applyBorder="1" applyAlignment="1">
      <alignment horizontal="center"/>
    </xf>
    <xf numFmtId="192" fontId="24" fillId="0" borderId="0" xfId="0" applyNumberFormat="1" applyFont="1" applyBorder="1" applyAlignment="1">
      <alignment horizontal="center"/>
    </xf>
    <xf numFmtId="1" fontId="9" fillId="0" borderId="0" xfId="0" applyNumberFormat="1" applyFont="1" applyAlignment="1">
      <alignment/>
    </xf>
    <xf numFmtId="194" fontId="9" fillId="0" borderId="0" xfId="0" applyNumberFormat="1" applyFont="1" applyAlignment="1">
      <alignment/>
    </xf>
    <xf numFmtId="14" fontId="0" fillId="0" borderId="13" xfId="0" applyNumberFormat="1" applyFont="1" applyBorder="1" applyAlignment="1">
      <alignment horizontal="center"/>
    </xf>
    <xf numFmtId="0" fontId="269" fillId="0" borderId="0" xfId="0" applyFont="1" applyAlignment="1">
      <alignment horizontal="right"/>
    </xf>
    <xf numFmtId="1" fontId="44" fillId="0" borderId="0" xfId="0" applyNumberFormat="1" applyFont="1" applyAlignment="1">
      <alignment horizontal="center"/>
    </xf>
    <xf numFmtId="192" fontId="0" fillId="0" borderId="73" xfId="0" applyNumberFormat="1" applyBorder="1" applyAlignment="1">
      <alignment horizontal="center"/>
    </xf>
    <xf numFmtId="192" fontId="0" fillId="0" borderId="74" xfId="0" applyNumberFormat="1" applyBorder="1" applyAlignment="1">
      <alignment horizontal="center"/>
    </xf>
    <xf numFmtId="192" fontId="0" fillId="0" borderId="75" xfId="0" applyNumberFormat="1" applyBorder="1" applyAlignment="1">
      <alignment horizontal="center"/>
    </xf>
    <xf numFmtId="1" fontId="0" fillId="0" borderId="76" xfId="0" applyNumberFormat="1" applyBorder="1" applyAlignment="1">
      <alignment horizontal="center"/>
    </xf>
    <xf numFmtId="1" fontId="99" fillId="0" borderId="75" xfId="0" applyNumberFormat="1" applyFont="1" applyBorder="1" applyAlignment="1">
      <alignment horizontal="center"/>
    </xf>
    <xf numFmtId="192" fontId="0" fillId="0" borderId="77" xfId="0" applyNumberFormat="1" applyBorder="1" applyAlignment="1">
      <alignment horizontal="center"/>
    </xf>
    <xf numFmtId="2" fontId="277" fillId="0" borderId="0" xfId="0" applyNumberFormat="1" applyFont="1" applyAlignment="1">
      <alignment horizontal="right"/>
    </xf>
    <xf numFmtId="0" fontId="277" fillId="0" borderId="0" xfId="0" applyFont="1" applyAlignment="1">
      <alignment/>
    </xf>
    <xf numFmtId="2" fontId="277" fillId="0" borderId="0" xfId="0" applyNumberFormat="1" applyFont="1" applyAlignment="1">
      <alignment/>
    </xf>
    <xf numFmtId="0" fontId="278" fillId="0" borderId="0" xfId="0" applyFont="1" applyAlignment="1">
      <alignment horizontal="right"/>
    </xf>
    <xf numFmtId="2" fontId="183" fillId="0" borderId="0" xfId="0" applyNumberFormat="1" applyFont="1" applyBorder="1" applyAlignment="1">
      <alignment/>
    </xf>
    <xf numFmtId="0" fontId="2" fillId="38" borderId="0" xfId="0" applyFont="1" applyFill="1" applyAlignment="1">
      <alignment/>
    </xf>
    <xf numFmtId="0" fontId="12" fillId="38" borderId="0" xfId="0" applyFont="1" applyFill="1" applyAlignment="1">
      <alignment/>
    </xf>
    <xf numFmtId="0" fontId="44" fillId="41" borderId="0" xfId="0" applyFont="1" applyFill="1" applyAlignment="1">
      <alignment/>
    </xf>
    <xf numFmtId="1" fontId="6" fillId="38" borderId="0" xfId="0" applyNumberFormat="1" applyFont="1" applyFill="1" applyAlignment="1">
      <alignment horizontal="center"/>
    </xf>
    <xf numFmtId="2" fontId="50" fillId="0" borderId="0" xfId="0" applyNumberFormat="1" applyFont="1" applyAlignment="1">
      <alignment horizontal="right"/>
    </xf>
    <xf numFmtId="0" fontId="18" fillId="0" borderId="0" xfId="0" applyFont="1" applyBorder="1" applyAlignment="1">
      <alignment/>
    </xf>
    <xf numFmtId="0" fontId="279" fillId="0" borderId="0" xfId="0" applyFont="1" applyAlignment="1">
      <alignment horizontal="right"/>
    </xf>
    <xf numFmtId="2" fontId="279" fillId="0" borderId="0" xfId="0" applyNumberFormat="1" applyFont="1" applyAlignment="1">
      <alignment/>
    </xf>
    <xf numFmtId="0" fontId="42" fillId="0" borderId="10" xfId="0" applyFont="1" applyBorder="1" applyAlignment="1">
      <alignment horizontal="right"/>
    </xf>
    <xf numFmtId="2" fontId="42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2" fontId="42" fillId="0" borderId="10" xfId="0" applyNumberFormat="1" applyFont="1" applyBorder="1" applyAlignment="1">
      <alignment/>
    </xf>
    <xf numFmtId="0" fontId="277" fillId="0" borderId="0" xfId="0" applyFont="1" applyAlignment="1">
      <alignment horizontal="right"/>
    </xf>
    <xf numFmtId="0" fontId="276" fillId="0" borderId="0" xfId="0" applyFont="1" applyAlignment="1">
      <alignment horizontal="right"/>
    </xf>
    <xf numFmtId="2" fontId="204" fillId="0" borderId="0" xfId="0" applyNumberFormat="1" applyFont="1" applyAlignment="1">
      <alignment horizontal="right"/>
    </xf>
    <xf numFmtId="2" fontId="204" fillId="0" borderId="0" xfId="0" applyNumberFormat="1" applyFont="1" applyAlignment="1">
      <alignment/>
    </xf>
    <xf numFmtId="0" fontId="204" fillId="0" borderId="0" xfId="0" applyFont="1" applyAlignment="1">
      <alignment/>
    </xf>
    <xf numFmtId="2" fontId="204" fillId="0" borderId="0" xfId="0" applyNumberFormat="1" applyFont="1" applyBorder="1" applyAlignment="1">
      <alignment/>
    </xf>
    <xf numFmtId="0" fontId="24" fillId="0" borderId="0" xfId="0" applyFont="1" applyBorder="1" applyAlignment="1">
      <alignment horizontal="right"/>
    </xf>
    <xf numFmtId="0" fontId="317" fillId="0" borderId="0" xfId="0" applyFont="1" applyBorder="1" applyAlignment="1">
      <alignment horizontal="right"/>
    </xf>
    <xf numFmtId="2" fontId="318" fillId="0" borderId="0" xfId="0" applyNumberFormat="1" applyFont="1" applyBorder="1" applyAlignment="1">
      <alignment horizontal="right"/>
    </xf>
    <xf numFmtId="2" fontId="318" fillId="0" borderId="0" xfId="0" applyNumberFormat="1" applyFont="1" applyBorder="1" applyAlignment="1">
      <alignment/>
    </xf>
    <xf numFmtId="0" fontId="318" fillId="0" borderId="0" xfId="0" applyFont="1" applyBorder="1" applyAlignment="1">
      <alignment/>
    </xf>
    <xf numFmtId="0" fontId="319" fillId="0" borderId="0" xfId="0" applyFont="1" applyBorder="1" applyAlignment="1">
      <alignment horizontal="center"/>
    </xf>
    <xf numFmtId="0" fontId="320" fillId="0" borderId="0" xfId="0" applyFont="1" applyAlignment="1">
      <alignment/>
    </xf>
    <xf numFmtId="14" fontId="321" fillId="0" borderId="13" xfId="0" applyNumberFormat="1" applyFont="1" applyBorder="1" applyAlignment="1">
      <alignment horizontal="center"/>
    </xf>
    <xf numFmtId="14" fontId="12" fillId="0" borderId="13" xfId="0" applyNumberFormat="1" applyFont="1" applyBorder="1" applyAlignment="1">
      <alignment horizontal="center"/>
    </xf>
    <xf numFmtId="0" fontId="317" fillId="0" borderId="0" xfId="0" applyFont="1" applyAlignment="1">
      <alignment horizontal="right"/>
    </xf>
    <xf numFmtId="1" fontId="318" fillId="0" borderId="0" xfId="0" applyNumberFormat="1" applyFont="1" applyAlignment="1">
      <alignment horizontal="center"/>
    </xf>
    <xf numFmtId="2" fontId="318" fillId="0" borderId="0" xfId="0" applyNumberFormat="1" applyFont="1" applyAlignment="1">
      <alignment/>
    </xf>
    <xf numFmtId="0" fontId="318" fillId="0" borderId="0" xfId="0" applyFont="1" applyAlignment="1">
      <alignment/>
    </xf>
    <xf numFmtId="0" fontId="322" fillId="0" borderId="0" xfId="0" applyFont="1" applyAlignment="1">
      <alignment horizontal="right"/>
    </xf>
    <xf numFmtId="2" fontId="322" fillId="0" borderId="0" xfId="0" applyNumberFormat="1" applyFont="1" applyAlignment="1">
      <alignment/>
    </xf>
    <xf numFmtId="0" fontId="322" fillId="0" borderId="0" xfId="0" applyFont="1" applyAlignment="1">
      <alignment/>
    </xf>
    <xf numFmtId="0" fontId="323" fillId="0" borderId="0" xfId="0" applyFont="1" applyAlignment="1">
      <alignment horizontal="right"/>
    </xf>
    <xf numFmtId="2" fontId="324" fillId="0" borderId="0" xfId="0" applyNumberFormat="1" applyFont="1" applyAlignment="1">
      <alignment/>
    </xf>
    <xf numFmtId="0" fontId="324" fillId="0" borderId="0" xfId="0" applyFont="1" applyAlignment="1">
      <alignment/>
    </xf>
    <xf numFmtId="0" fontId="325" fillId="0" borderId="0" xfId="0" applyFont="1" applyBorder="1" applyAlignment="1">
      <alignment horizontal="right"/>
    </xf>
    <xf numFmtId="2" fontId="326" fillId="0" borderId="0" xfId="0" applyNumberFormat="1" applyFont="1" applyBorder="1" applyAlignment="1">
      <alignment horizontal="right"/>
    </xf>
    <xf numFmtId="2" fontId="326" fillId="0" borderId="0" xfId="0" applyNumberFormat="1" applyFont="1" applyBorder="1" applyAlignment="1">
      <alignment/>
    </xf>
    <xf numFmtId="0" fontId="326" fillId="0" borderId="0" xfId="0" applyFont="1" applyBorder="1" applyAlignment="1">
      <alignment/>
    </xf>
    <xf numFmtId="0" fontId="327" fillId="0" borderId="0" xfId="0" applyFont="1" applyAlignment="1">
      <alignment horizontal="right"/>
    </xf>
    <xf numFmtId="2" fontId="322" fillId="0" borderId="0" xfId="0" applyNumberFormat="1" applyFont="1" applyAlignment="1">
      <alignment horizontal="right"/>
    </xf>
    <xf numFmtId="2" fontId="322" fillId="0" borderId="0" xfId="0" applyNumberFormat="1" applyFont="1" applyBorder="1" applyAlignment="1">
      <alignment/>
    </xf>
    <xf numFmtId="0" fontId="328" fillId="0" borderId="0" xfId="0" applyFont="1" applyAlignment="1">
      <alignment horizontal="center"/>
    </xf>
    <xf numFmtId="0" fontId="329" fillId="0" borderId="0" xfId="0" applyFont="1" applyAlignment="1">
      <alignment horizontal="right"/>
    </xf>
    <xf numFmtId="2" fontId="330" fillId="0" borderId="0" xfId="0" applyNumberFormat="1" applyFont="1" applyAlignment="1">
      <alignment/>
    </xf>
    <xf numFmtId="0" fontId="330" fillId="0" borderId="0" xfId="0" applyFont="1" applyAlignment="1">
      <alignment/>
    </xf>
    <xf numFmtId="0" fontId="331" fillId="0" borderId="0" xfId="0" applyFont="1" applyAlignment="1">
      <alignment horizontal="center"/>
    </xf>
    <xf numFmtId="2" fontId="332" fillId="0" borderId="0" xfId="0" applyNumberFormat="1" applyFont="1" applyAlignment="1">
      <alignment/>
    </xf>
    <xf numFmtId="0" fontId="332" fillId="0" borderId="0" xfId="0" applyFont="1" applyAlignment="1" quotePrefix="1">
      <alignment/>
    </xf>
    <xf numFmtId="2" fontId="333" fillId="0" borderId="0" xfId="0" applyNumberFormat="1" applyFont="1" applyAlignment="1">
      <alignment/>
    </xf>
    <xf numFmtId="0" fontId="319" fillId="0" borderId="0" xfId="0" applyFont="1" applyAlignment="1" quotePrefix="1">
      <alignment/>
    </xf>
    <xf numFmtId="0" fontId="334" fillId="0" borderId="0" xfId="0" applyFont="1" applyAlignment="1">
      <alignment horizontal="center"/>
    </xf>
    <xf numFmtId="0" fontId="335" fillId="0" borderId="0" xfId="0" applyFont="1" applyAlignment="1">
      <alignment horizontal="right"/>
    </xf>
    <xf numFmtId="2" fontId="336" fillId="0" borderId="0" xfId="0" applyNumberFormat="1" applyFont="1" applyAlignment="1">
      <alignment horizontal="right"/>
    </xf>
    <xf numFmtId="2" fontId="335" fillId="0" borderId="0" xfId="0" applyNumberFormat="1" applyFont="1" applyAlignment="1">
      <alignment/>
    </xf>
    <xf numFmtId="0" fontId="336" fillId="0" borderId="0" xfId="0" applyFont="1" applyAlignment="1">
      <alignment/>
    </xf>
    <xf numFmtId="2" fontId="336" fillId="0" borderId="0" xfId="0" applyNumberFormat="1" applyFont="1" applyAlignment="1">
      <alignment/>
    </xf>
    <xf numFmtId="2" fontId="330" fillId="0" borderId="0" xfId="0" applyNumberFormat="1" applyFont="1" applyAlignment="1">
      <alignment horizontal="right"/>
    </xf>
    <xf numFmtId="2" fontId="329" fillId="0" borderId="0" xfId="0" applyNumberFormat="1" applyFont="1" applyAlignment="1">
      <alignment/>
    </xf>
    <xf numFmtId="2" fontId="318" fillId="0" borderId="0" xfId="0" applyNumberFormat="1" applyFont="1" applyAlignment="1">
      <alignment horizontal="right"/>
    </xf>
    <xf numFmtId="0" fontId="318" fillId="0" borderId="0" xfId="0" applyFont="1" applyFill="1" applyBorder="1" applyAlignment="1">
      <alignment/>
    </xf>
    <xf numFmtId="2" fontId="317" fillId="0" borderId="0" xfId="0" applyNumberFormat="1" applyFont="1" applyAlignment="1">
      <alignment/>
    </xf>
    <xf numFmtId="0" fontId="337" fillId="0" borderId="0" xfId="0" applyFont="1" applyBorder="1" applyAlignment="1">
      <alignment horizontal="right"/>
    </xf>
    <xf numFmtId="2" fontId="327" fillId="0" borderId="0" xfId="0" applyNumberFormat="1" applyFont="1" applyAlignment="1">
      <alignment/>
    </xf>
    <xf numFmtId="0" fontId="338" fillId="0" borderId="0" xfId="0" applyFont="1" applyAlignment="1">
      <alignment horizontal="right"/>
    </xf>
    <xf numFmtId="2" fontId="338" fillId="0" borderId="0" xfId="0" applyNumberFormat="1" applyFont="1" applyAlignment="1">
      <alignment/>
    </xf>
    <xf numFmtId="2" fontId="338" fillId="0" borderId="0" xfId="0" applyNumberFormat="1" applyFont="1" applyAlignment="1">
      <alignment horizontal="right"/>
    </xf>
    <xf numFmtId="0" fontId="338" fillId="0" borderId="0" xfId="0" applyFont="1" applyAlignment="1">
      <alignment/>
    </xf>
    <xf numFmtId="0" fontId="338" fillId="0" borderId="0" xfId="0" applyFont="1" applyAlignment="1" quotePrefix="1">
      <alignment/>
    </xf>
    <xf numFmtId="0" fontId="339" fillId="0" borderId="0" xfId="0" applyFont="1" applyAlignment="1">
      <alignment horizontal="right"/>
    </xf>
    <xf numFmtId="2" fontId="340" fillId="0" borderId="0" xfId="0" applyNumberFormat="1" applyFont="1" applyAlignment="1">
      <alignment/>
    </xf>
    <xf numFmtId="0" fontId="340" fillId="0" borderId="0" xfId="0" applyFont="1" applyAlignment="1">
      <alignment/>
    </xf>
    <xf numFmtId="0" fontId="340" fillId="0" borderId="0" xfId="0" applyFont="1" applyAlignment="1" quotePrefix="1">
      <alignment/>
    </xf>
    <xf numFmtId="0" fontId="340" fillId="0" borderId="0" xfId="0" applyFont="1" applyAlignment="1">
      <alignment horizontal="center"/>
    </xf>
    <xf numFmtId="0" fontId="337" fillId="0" borderId="0" xfId="0" applyFont="1" applyAlignment="1">
      <alignment horizontal="right"/>
    </xf>
    <xf numFmtId="2" fontId="337" fillId="0" borderId="0" xfId="0" applyNumberFormat="1" applyFont="1" applyAlignment="1">
      <alignment/>
    </xf>
    <xf numFmtId="2" fontId="319" fillId="0" borderId="0" xfId="0" applyNumberFormat="1" applyFont="1" applyAlignment="1">
      <alignment horizontal="center"/>
    </xf>
    <xf numFmtId="0" fontId="320" fillId="0" borderId="0" xfId="0" applyFont="1" applyAlignment="1">
      <alignment horizontal="right"/>
    </xf>
    <xf numFmtId="2" fontId="328" fillId="0" borderId="0" xfId="0" applyNumberFormat="1" applyFont="1" applyBorder="1" applyAlignment="1">
      <alignment/>
    </xf>
    <xf numFmtId="2" fontId="341" fillId="0" borderId="0" xfId="0" applyNumberFormat="1" applyFont="1" applyBorder="1" applyAlignment="1">
      <alignment/>
    </xf>
    <xf numFmtId="2" fontId="342" fillId="0" borderId="0" xfId="0" applyNumberFormat="1" applyFont="1" applyAlignment="1">
      <alignment/>
    </xf>
    <xf numFmtId="2" fontId="317" fillId="0" borderId="0" xfId="0" applyNumberFormat="1" applyFont="1" applyBorder="1" applyAlignment="1">
      <alignment/>
    </xf>
    <xf numFmtId="0" fontId="317" fillId="0" borderId="0" xfId="0" applyFont="1" applyBorder="1" applyAlignment="1">
      <alignment/>
    </xf>
    <xf numFmtId="2" fontId="341" fillId="0" borderId="0" xfId="0" applyNumberFormat="1" applyFont="1" applyAlignment="1">
      <alignment/>
    </xf>
    <xf numFmtId="0" fontId="341" fillId="0" borderId="0" xfId="0" applyFont="1" applyAlignment="1">
      <alignment horizontal="right"/>
    </xf>
    <xf numFmtId="2" fontId="343" fillId="0" borderId="0" xfId="0" applyNumberFormat="1" applyFont="1" applyBorder="1" applyAlignment="1">
      <alignment horizontal="right"/>
    </xf>
    <xf numFmtId="0" fontId="341" fillId="0" borderId="0" xfId="0" applyFont="1" applyBorder="1" applyAlignment="1">
      <alignment horizontal="right"/>
    </xf>
    <xf numFmtId="0" fontId="344" fillId="0" borderId="0" xfId="0" applyFont="1" applyAlignment="1">
      <alignment horizontal="right"/>
    </xf>
    <xf numFmtId="2" fontId="345" fillId="0" borderId="0" xfId="0" applyNumberFormat="1" applyFont="1" applyAlignment="1">
      <alignment horizontal="right"/>
    </xf>
    <xf numFmtId="2" fontId="344" fillId="0" borderId="0" xfId="0" applyNumberFormat="1" applyFont="1" applyBorder="1" applyAlignment="1">
      <alignment/>
    </xf>
    <xf numFmtId="0" fontId="345" fillId="0" borderId="0" xfId="0" applyFont="1" applyAlignment="1">
      <alignment/>
    </xf>
    <xf numFmtId="2" fontId="344" fillId="0" borderId="0" xfId="0" applyNumberFormat="1" applyFont="1" applyAlignment="1">
      <alignment/>
    </xf>
    <xf numFmtId="2" fontId="337" fillId="0" borderId="0" xfId="0" applyNumberFormat="1" applyFont="1" applyBorder="1" applyAlignment="1">
      <alignment/>
    </xf>
    <xf numFmtId="2" fontId="320" fillId="0" borderId="0" xfId="0" applyNumberFormat="1" applyFont="1" applyBorder="1" applyAlignment="1">
      <alignment/>
    </xf>
    <xf numFmtId="2" fontId="317" fillId="0" borderId="0" xfId="0" applyNumberFormat="1" applyFont="1" applyFill="1" applyAlignment="1">
      <alignment/>
    </xf>
    <xf numFmtId="0" fontId="322" fillId="0" borderId="0" xfId="0" applyFont="1" applyAlignment="1" quotePrefix="1">
      <alignment/>
    </xf>
    <xf numFmtId="0" fontId="322" fillId="0" borderId="0" xfId="0" applyFont="1" applyAlignment="1">
      <alignment horizontal="center"/>
    </xf>
    <xf numFmtId="0" fontId="329" fillId="0" borderId="0" xfId="0" applyFont="1" applyBorder="1" applyAlignment="1">
      <alignment horizontal="right"/>
    </xf>
    <xf numFmtId="2" fontId="329" fillId="0" borderId="0" xfId="0" applyNumberFormat="1" applyFont="1" applyAlignment="1">
      <alignment horizontal="right"/>
    </xf>
    <xf numFmtId="2" fontId="329" fillId="0" borderId="0" xfId="0" applyNumberFormat="1" applyFont="1" applyBorder="1" applyAlignment="1">
      <alignment/>
    </xf>
    <xf numFmtId="0" fontId="329" fillId="0" borderId="0" xfId="0" applyFont="1" applyBorder="1" applyAlignment="1">
      <alignment/>
    </xf>
    <xf numFmtId="192" fontId="322" fillId="0" borderId="0" xfId="0" applyNumberFormat="1" applyFont="1" applyBorder="1" applyAlignment="1">
      <alignment horizontal="center"/>
    </xf>
    <xf numFmtId="1" fontId="322" fillId="38" borderId="0" xfId="0" applyNumberFormat="1" applyFont="1" applyFill="1" applyBorder="1" applyAlignment="1">
      <alignment horizontal="center"/>
    </xf>
    <xf numFmtId="1" fontId="322" fillId="0" borderId="0" xfId="0" applyNumberFormat="1" applyFont="1" applyBorder="1" applyAlignment="1">
      <alignment horizontal="center"/>
    </xf>
    <xf numFmtId="192" fontId="322" fillId="0" borderId="0" xfId="0" applyNumberFormat="1" applyFont="1" applyAlignment="1">
      <alignment horizontal="center"/>
    </xf>
    <xf numFmtId="1" fontId="327" fillId="0" borderId="0" xfId="0" applyNumberFormat="1" applyFont="1" applyAlignment="1">
      <alignment horizontal="center"/>
    </xf>
    <xf numFmtId="1" fontId="318" fillId="0" borderId="0" xfId="0" applyNumberFormat="1" applyFont="1" applyAlignment="1">
      <alignment horizontal="right"/>
    </xf>
    <xf numFmtId="2" fontId="317" fillId="0" borderId="0" xfId="0" applyNumberFormat="1" applyFont="1" applyAlignment="1">
      <alignment horizontal="right"/>
    </xf>
    <xf numFmtId="0" fontId="318" fillId="0" borderId="0" xfId="0" applyFont="1" applyAlignment="1">
      <alignment horizontal="right"/>
    </xf>
    <xf numFmtId="0" fontId="346" fillId="0" borderId="0" xfId="0" applyFont="1" applyAlignment="1">
      <alignment horizontal="right"/>
    </xf>
    <xf numFmtId="1" fontId="347" fillId="0" borderId="0" xfId="0" applyNumberFormat="1" applyFont="1" applyAlignment="1">
      <alignment horizontal="right"/>
    </xf>
    <xf numFmtId="2" fontId="346" fillId="0" borderId="0" xfId="0" applyNumberFormat="1" applyFont="1" applyAlignment="1">
      <alignment horizontal="right"/>
    </xf>
    <xf numFmtId="0" fontId="347" fillId="0" borderId="0" xfId="0" applyFont="1" applyAlignment="1">
      <alignment/>
    </xf>
    <xf numFmtId="2" fontId="347" fillId="0" borderId="0" xfId="0" applyNumberFormat="1" applyFont="1" applyAlignment="1">
      <alignment/>
    </xf>
    <xf numFmtId="0" fontId="319" fillId="0" borderId="0" xfId="0" applyFont="1" applyAlignment="1">
      <alignment horizontal="center"/>
    </xf>
    <xf numFmtId="0" fontId="348" fillId="0" borderId="0" xfId="0" applyFont="1" applyAlignment="1">
      <alignment horizontal="right"/>
    </xf>
    <xf numFmtId="0" fontId="349" fillId="0" borderId="0" xfId="0" applyFont="1" applyAlignment="1">
      <alignment horizontal="right"/>
    </xf>
    <xf numFmtId="2" fontId="350" fillId="0" borderId="0" xfId="0" applyNumberFormat="1" applyFont="1" applyAlignment="1">
      <alignment horizontal="right"/>
    </xf>
    <xf numFmtId="2" fontId="349" fillId="0" borderId="0" xfId="0" applyNumberFormat="1" applyFont="1" applyAlignment="1">
      <alignment horizontal="right"/>
    </xf>
    <xf numFmtId="0" fontId="350" fillId="0" borderId="0" xfId="0" applyFont="1" applyAlignment="1">
      <alignment horizontal="right"/>
    </xf>
    <xf numFmtId="2" fontId="350" fillId="0" borderId="0" xfId="0" applyNumberFormat="1" applyFont="1" applyAlignment="1">
      <alignment/>
    </xf>
    <xf numFmtId="0" fontId="351" fillId="0" borderId="0" xfId="0" applyFont="1" applyBorder="1" applyAlignment="1" quotePrefix="1">
      <alignment/>
    </xf>
    <xf numFmtId="0" fontId="352" fillId="0" borderId="0" xfId="0" applyFont="1" applyBorder="1" applyAlignment="1">
      <alignment horizontal="right"/>
    </xf>
    <xf numFmtId="2" fontId="352" fillId="0" borderId="0" xfId="0" applyNumberFormat="1" applyFont="1" applyAlignment="1">
      <alignment/>
    </xf>
    <xf numFmtId="0" fontId="353" fillId="0" borderId="0" xfId="0" applyFont="1" applyBorder="1" applyAlignment="1">
      <alignment horizontal="right"/>
    </xf>
    <xf numFmtId="2" fontId="353" fillId="0" borderId="0" xfId="0" applyNumberFormat="1" applyFont="1" applyAlignment="1">
      <alignment horizontal="right"/>
    </xf>
    <xf numFmtId="2" fontId="353" fillId="0" borderId="0" xfId="0" applyNumberFormat="1" applyFont="1" applyBorder="1" applyAlignment="1">
      <alignment/>
    </xf>
    <xf numFmtId="0" fontId="353" fillId="0" borderId="0" xfId="0" applyFont="1" applyBorder="1" applyAlignment="1">
      <alignment/>
    </xf>
    <xf numFmtId="2" fontId="353" fillId="0" borderId="0" xfId="0" applyNumberFormat="1" applyFont="1" applyAlignment="1">
      <alignment/>
    </xf>
    <xf numFmtId="0" fontId="354" fillId="0" borderId="0" xfId="0" applyFont="1" applyAlignment="1">
      <alignment horizontal="right"/>
    </xf>
    <xf numFmtId="0" fontId="355" fillId="0" borderId="0" xfId="0" applyFont="1" applyAlignment="1">
      <alignment horizontal="right"/>
    </xf>
    <xf numFmtId="2" fontId="356" fillId="0" borderId="0" xfId="0" applyNumberFormat="1" applyFont="1" applyAlignment="1">
      <alignment/>
    </xf>
    <xf numFmtId="2" fontId="355" fillId="0" borderId="0" xfId="0" applyNumberFormat="1" applyFont="1" applyAlignment="1">
      <alignment/>
    </xf>
    <xf numFmtId="0" fontId="355" fillId="0" borderId="0" xfId="0" applyFont="1" applyAlignment="1">
      <alignment/>
    </xf>
    <xf numFmtId="0" fontId="357" fillId="0" borderId="0" xfId="0" applyFont="1" applyBorder="1" applyAlignment="1">
      <alignment horizontal="right"/>
    </xf>
    <xf numFmtId="0" fontId="330" fillId="0" borderId="0" xfId="0" applyFont="1" applyAlignment="1">
      <alignment horizontal="right"/>
    </xf>
    <xf numFmtId="0" fontId="343" fillId="0" borderId="0" xfId="0" applyFont="1" applyAlignment="1">
      <alignment horizontal="right"/>
    </xf>
    <xf numFmtId="0" fontId="358" fillId="0" borderId="0" xfId="0" applyFont="1" applyAlignment="1">
      <alignment horizontal="right"/>
    </xf>
    <xf numFmtId="1" fontId="99" fillId="0" borderId="0" xfId="0" applyNumberFormat="1" applyFont="1" applyBorder="1" applyAlignment="1">
      <alignment horizontal="center"/>
    </xf>
    <xf numFmtId="0" fontId="40" fillId="0" borderId="0" xfId="0" applyFont="1" applyBorder="1" applyAlignment="1">
      <alignment horizontal="right"/>
    </xf>
    <xf numFmtId="2" fontId="38" fillId="0" borderId="0" xfId="0" applyNumberFormat="1" applyFont="1" applyBorder="1" applyAlignment="1">
      <alignment horizontal="right"/>
    </xf>
    <xf numFmtId="0" fontId="6" fillId="0" borderId="0" xfId="0" applyFont="1" applyBorder="1" applyAlignment="1" quotePrefix="1">
      <alignment/>
    </xf>
    <xf numFmtId="2" fontId="6" fillId="0" borderId="0" xfId="0" applyNumberFormat="1" applyFont="1" applyBorder="1" applyAlignment="1" quotePrefix="1">
      <alignment/>
    </xf>
    <xf numFmtId="0" fontId="25" fillId="38" borderId="0" xfId="0" applyFont="1" applyFill="1" applyBorder="1" applyAlignment="1">
      <alignment horizontal="right"/>
    </xf>
    <xf numFmtId="2" fontId="25" fillId="38" borderId="0" xfId="0" applyNumberFormat="1" applyFont="1" applyFill="1" applyBorder="1" applyAlignment="1">
      <alignment/>
    </xf>
    <xf numFmtId="0" fontId="16" fillId="0" borderId="0" xfId="0" applyFont="1" applyBorder="1" applyAlignment="1">
      <alignment horizontal="right"/>
    </xf>
    <xf numFmtId="2" fontId="57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2" fontId="34" fillId="0" borderId="0" xfId="0" applyNumberFormat="1" applyFont="1" applyBorder="1" applyAlignment="1">
      <alignment horizontal="right"/>
    </xf>
    <xf numFmtId="2" fontId="34" fillId="35" borderId="0" xfId="0" applyNumberFormat="1" applyFont="1" applyFill="1" applyBorder="1" applyAlignment="1">
      <alignment horizontal="right"/>
    </xf>
    <xf numFmtId="2" fontId="6" fillId="0" borderId="0" xfId="0" applyNumberFormat="1" applyFont="1" applyBorder="1" applyAlignment="1" quotePrefix="1">
      <alignment horizontal="right"/>
    </xf>
    <xf numFmtId="2" fontId="6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2" fontId="13" fillId="0" borderId="0" xfId="0" applyNumberFormat="1" applyFont="1" applyBorder="1" applyAlignment="1">
      <alignment horizontal="right"/>
    </xf>
    <xf numFmtId="0" fontId="133" fillId="0" borderId="0" xfId="0" applyFont="1" applyAlignment="1">
      <alignment horizontal="center"/>
    </xf>
    <xf numFmtId="0" fontId="0" fillId="0" borderId="0" xfId="0" applyAlignment="1">
      <alignment/>
    </xf>
    <xf numFmtId="192" fontId="153" fillId="0" borderId="10" xfId="0" applyNumberFormat="1" applyFont="1" applyBorder="1" applyAlignment="1">
      <alignment horizontal="center"/>
    </xf>
    <xf numFmtId="0" fontId="153" fillId="0" borderId="10" xfId="0" applyFont="1" applyBorder="1" applyAlignment="1">
      <alignment horizontal="center"/>
    </xf>
    <xf numFmtId="2" fontId="153" fillId="0" borderId="10" xfId="0" applyNumberFormat="1" applyFont="1" applyBorder="1" applyAlignment="1">
      <alignment horizontal="center"/>
    </xf>
    <xf numFmtId="192" fontId="1" fillId="37" borderId="0" xfId="0" applyNumberFormat="1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19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9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93" fillId="0" borderId="0" xfId="0" applyNumberFormat="1" applyFont="1" applyAlignment="1">
      <alignment horizontal="center"/>
    </xf>
    <xf numFmtId="0" fontId="93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261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32" fillId="0" borderId="0" xfId="0" applyFont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2" fontId="1" fillId="0" borderId="45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5" xfId="0" applyBorder="1" applyAlignment="1">
      <alignment horizontal="center"/>
    </xf>
    <xf numFmtId="0" fontId="1" fillId="0" borderId="78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9" xfId="0" applyBorder="1" applyAlignment="1">
      <alignment horizontal="center"/>
    </xf>
    <xf numFmtId="0" fontId="96" fillId="0" borderId="0" xfId="0" applyFont="1" applyAlignment="1">
      <alignment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lebensfreundlich.at/" TargetMode="External" /><Relationship Id="rId2" Type="http://schemas.openxmlformats.org/officeDocument/2006/relationships/hyperlink" Target="http://www.oekokiste.com/adamah%20%20%20ist%20nicht%20mehr%20aktiv%20!" TargetMode="External" /><Relationship Id="rId3" Type="http://schemas.openxmlformats.org/officeDocument/2006/relationships/hyperlink" Target="http://www.spar.at/" TargetMode="External" /><Relationship Id="rId4" Type="http://schemas.openxmlformats.org/officeDocument/2006/relationships/comments" Target="../comments4.xml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fahrrad.co.at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zoomScale="162" zoomScaleNormal="162" zoomScalePageLayoutView="0" workbookViewId="0" topLeftCell="A1">
      <selection activeCell="C12" sqref="C12"/>
    </sheetView>
  </sheetViews>
  <sheetFormatPr defaultColWidth="9.140625" defaultRowHeight="12.75"/>
  <cols>
    <col min="1" max="1" width="5.8515625" style="0" customWidth="1"/>
    <col min="2" max="2" width="9.140625" style="0" customWidth="1"/>
    <col min="3" max="3" width="55.8515625" style="0" customWidth="1"/>
  </cols>
  <sheetData>
    <row r="1" spans="1:4" ht="22.5">
      <c r="A1" s="382"/>
      <c r="B1" s="383" t="s">
        <v>1837</v>
      </c>
      <c r="C1" s="382" t="s">
        <v>1895</v>
      </c>
      <c r="D1" s="384"/>
    </row>
    <row r="2" spans="1:4" ht="22.5">
      <c r="A2" s="382"/>
      <c r="B2" s="383" t="s">
        <v>682</v>
      </c>
      <c r="C2" s="382" t="s">
        <v>901</v>
      </c>
      <c r="D2" s="384"/>
    </row>
    <row r="3" spans="1:4" ht="22.5">
      <c r="A3" s="382"/>
      <c r="B3" s="383" t="s">
        <v>683</v>
      </c>
      <c r="C3" s="382" t="s">
        <v>902</v>
      </c>
      <c r="D3" s="384"/>
    </row>
    <row r="4" spans="1:4" ht="22.5">
      <c r="A4" s="382"/>
      <c r="B4" s="383" t="s">
        <v>2328</v>
      </c>
      <c r="C4" s="382" t="s">
        <v>903</v>
      </c>
      <c r="D4" s="384"/>
    </row>
    <row r="5" spans="1:4" ht="22.5">
      <c r="A5" s="382"/>
      <c r="B5" s="383" t="s">
        <v>2049</v>
      </c>
      <c r="C5" s="382" t="s">
        <v>199</v>
      </c>
      <c r="D5" s="384"/>
    </row>
    <row r="6" spans="1:4" ht="22.5">
      <c r="A6" s="382"/>
      <c r="B6" s="383" t="s">
        <v>2030</v>
      </c>
      <c r="C6" s="382" t="s">
        <v>2305</v>
      </c>
      <c r="D6" s="384"/>
    </row>
    <row r="7" spans="1:4" ht="15" customHeight="1">
      <c r="A7" s="382"/>
      <c r="B7" s="383"/>
      <c r="C7" s="382"/>
      <c r="D7" s="384"/>
    </row>
    <row r="8" spans="1:4" ht="22.5">
      <c r="A8" s="384"/>
      <c r="B8" s="385" t="s">
        <v>1788</v>
      </c>
      <c r="C8" s="386" t="s">
        <v>1318</v>
      </c>
      <c r="D8" s="384"/>
    </row>
    <row r="9" spans="1:4" ht="22.5">
      <c r="A9" s="384"/>
      <c r="B9" s="385" t="s">
        <v>1837</v>
      </c>
      <c r="C9" s="386" t="s">
        <v>1638</v>
      </c>
      <c r="D9" s="384"/>
    </row>
    <row r="10" spans="1:4" ht="22.5">
      <c r="A10" s="384"/>
      <c r="B10" s="385" t="s">
        <v>2906</v>
      </c>
      <c r="C10" s="386" t="s">
        <v>2822</v>
      </c>
      <c r="D10" s="384"/>
    </row>
    <row r="11" spans="1:4" ht="22.5">
      <c r="A11" s="384"/>
      <c r="B11" s="385" t="s">
        <v>1789</v>
      </c>
      <c r="C11" s="386" t="s">
        <v>1730</v>
      </c>
      <c r="D11" s="384"/>
    </row>
    <row r="12" spans="1:4" ht="12.75">
      <c r="A12" s="384"/>
      <c r="B12" s="384"/>
      <c r="C12" s="384"/>
      <c r="D12" s="384"/>
    </row>
    <row r="13" spans="1:4" ht="12.75">
      <c r="A13" s="384"/>
      <c r="B13" s="384"/>
      <c r="C13" s="384"/>
      <c r="D13" s="384"/>
    </row>
  </sheetData>
  <sheetProtection/>
  <printOptions/>
  <pageMargins left="0.787401575" right="0.787401575" top="0.984251969" bottom="0.984251969" header="0.5" footer="0.5"/>
  <pageSetup horizontalDpi="360" verticalDpi="36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D12"/>
  <sheetViews>
    <sheetView zoomScale="239" zoomScaleNormal="239" zoomScalePageLayoutView="0" workbookViewId="0" topLeftCell="A1">
      <selection activeCell="E8" sqref="E8"/>
    </sheetView>
  </sheetViews>
  <sheetFormatPr defaultColWidth="11.421875" defaultRowHeight="12.75"/>
  <cols>
    <col min="1" max="1" width="4.7109375" style="0" customWidth="1"/>
    <col min="2" max="3" width="11.421875" style="24" customWidth="1"/>
    <col min="4" max="4" width="11.421875" style="198" customWidth="1"/>
  </cols>
  <sheetData>
    <row r="1" ht="13.5" thickBot="1"/>
    <row r="2" spans="2:4" s="1229" customFormat="1" ht="17.25">
      <c r="B2" s="1230" t="s">
        <v>542</v>
      </c>
      <c r="C2" s="1231" t="s">
        <v>543</v>
      </c>
      <c r="D2" s="1232" t="s">
        <v>544</v>
      </c>
    </row>
    <row r="3" spans="2:4" s="39" customFormat="1" ht="12.75">
      <c r="B3" s="1621" t="s">
        <v>541</v>
      </c>
      <c r="C3" s="1622"/>
      <c r="D3" s="1623"/>
    </row>
    <row r="4" spans="2:4" ht="12.75">
      <c r="B4" s="1233">
        <v>507</v>
      </c>
      <c r="C4" s="224">
        <v>9</v>
      </c>
      <c r="D4" s="1234">
        <f>B4/C4</f>
        <v>56.333333333333336</v>
      </c>
    </row>
    <row r="5" spans="2:4" s="39" customFormat="1" ht="12.75">
      <c r="B5" s="1621" t="s">
        <v>2751</v>
      </c>
      <c r="C5" s="1622"/>
      <c r="D5" s="1623"/>
    </row>
    <row r="6" spans="2:4" ht="12.75">
      <c r="B6" s="1235">
        <v>320</v>
      </c>
      <c r="C6" s="50">
        <v>3.6</v>
      </c>
      <c r="D6" s="1236">
        <f>B6/C6</f>
        <v>88.88888888888889</v>
      </c>
    </row>
    <row r="7" spans="2:4" ht="12.75">
      <c r="B7" s="1235">
        <v>650</v>
      </c>
      <c r="C7" s="50">
        <v>8</v>
      </c>
      <c r="D7" s="1236">
        <f>B7/C7</f>
        <v>81.25</v>
      </c>
    </row>
    <row r="8" spans="2:4" ht="12.75">
      <c r="B8" s="1233">
        <v>1521</v>
      </c>
      <c r="C8" s="224">
        <v>15</v>
      </c>
      <c r="D8" s="1234">
        <f>B8/C8</f>
        <v>101.4</v>
      </c>
    </row>
    <row r="9" spans="2:4" s="39" customFormat="1" ht="12.75">
      <c r="B9" s="1621" t="s">
        <v>2752</v>
      </c>
      <c r="C9" s="1622"/>
      <c r="D9" s="1623"/>
    </row>
    <row r="10" spans="2:4" ht="12.75">
      <c r="B10" s="1235">
        <v>215</v>
      </c>
      <c r="C10" s="50">
        <v>25</v>
      </c>
      <c r="D10" s="1236">
        <f>B10/C10</f>
        <v>8.6</v>
      </c>
    </row>
    <row r="11" spans="2:4" ht="12.75">
      <c r="B11" s="1235">
        <v>700</v>
      </c>
      <c r="C11" s="50">
        <v>60</v>
      </c>
      <c r="D11" s="1236">
        <f>B11/C11</f>
        <v>11.666666666666666</v>
      </c>
    </row>
    <row r="12" spans="2:4" ht="13.5" thickBot="1">
      <c r="B12" s="1237">
        <v>1320</v>
      </c>
      <c r="C12" s="1238">
        <v>100</v>
      </c>
      <c r="D12" s="1239">
        <f>B12/C12</f>
        <v>13.2</v>
      </c>
    </row>
  </sheetData>
  <sheetProtection/>
  <mergeCells count="3">
    <mergeCell ref="B3:D3"/>
    <mergeCell ref="B5:D5"/>
    <mergeCell ref="B9:D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F21" sqref="F21"/>
    </sheetView>
  </sheetViews>
  <sheetFormatPr defaultColWidth="11.421875" defaultRowHeight="12.75"/>
  <cols>
    <col min="1" max="1" width="19.8515625" style="1247" bestFit="1" customWidth="1"/>
    <col min="2" max="2" width="11.421875" style="198" customWidth="1"/>
    <col min="3" max="6" width="11.421875" style="24" customWidth="1"/>
  </cols>
  <sheetData>
    <row r="1" spans="1:6" ht="21">
      <c r="A1" s="1624" t="s">
        <v>1566</v>
      </c>
      <c r="B1" s="1624"/>
      <c r="C1" s="1624"/>
      <c r="D1" s="1624"/>
      <c r="E1" s="1624"/>
      <c r="F1" s="1624"/>
    </row>
    <row r="2" spans="1:6" ht="21" thickBot="1">
      <c r="A2" s="1246"/>
      <c r="B2" s="1246"/>
      <c r="C2" s="1246"/>
      <c r="D2" s="1246"/>
      <c r="E2" s="1246"/>
      <c r="F2" s="1246"/>
    </row>
    <row r="3" spans="1:10" ht="12.75">
      <c r="A3" s="1258"/>
      <c r="B3" s="1252"/>
      <c r="C3" s="1625" t="s">
        <v>2970</v>
      </c>
      <c r="D3" s="1626"/>
      <c r="E3" s="1626"/>
      <c r="F3" s="1627"/>
      <c r="G3" s="1625" t="s">
        <v>2971</v>
      </c>
      <c r="H3" s="1626"/>
      <c r="I3" s="1626"/>
      <c r="J3" s="1628"/>
    </row>
    <row r="4" spans="1:10" ht="12.75">
      <c r="A4" s="1259" t="s">
        <v>1567</v>
      </c>
      <c r="B4" s="219" t="s">
        <v>1978</v>
      </c>
      <c r="C4" s="1250" t="s">
        <v>3012</v>
      </c>
      <c r="D4" s="224" t="s">
        <v>1257</v>
      </c>
      <c r="E4" s="224" t="s">
        <v>2969</v>
      </c>
      <c r="F4" s="1251" t="s">
        <v>1989</v>
      </c>
      <c r="G4" s="1250" t="s">
        <v>3012</v>
      </c>
      <c r="H4" s="224" t="s">
        <v>1257</v>
      </c>
      <c r="I4" s="224" t="s">
        <v>2969</v>
      </c>
      <c r="J4" s="1253" t="s">
        <v>1989</v>
      </c>
    </row>
    <row r="5" spans="1:10" ht="12.75">
      <c r="A5" s="1260" t="s">
        <v>1568</v>
      </c>
      <c r="B5" s="199">
        <v>480</v>
      </c>
      <c r="C5" s="1248">
        <v>7</v>
      </c>
      <c r="D5" s="199">
        <v>18</v>
      </c>
      <c r="E5" s="199">
        <v>2</v>
      </c>
      <c r="F5" s="1249">
        <v>540</v>
      </c>
      <c r="G5" s="1248">
        <f aca="true" t="shared" si="0" ref="G5:J8">$B5*C5/100</f>
        <v>33.6</v>
      </c>
      <c r="H5" s="1248">
        <f t="shared" si="0"/>
        <v>86.4</v>
      </c>
      <c r="I5" s="1248">
        <f t="shared" si="0"/>
        <v>9.6</v>
      </c>
      <c r="J5" s="1262">
        <f t="shared" si="0"/>
        <v>2592</v>
      </c>
    </row>
    <row r="6" spans="1:10" ht="12.75">
      <c r="A6" s="1260" t="s">
        <v>3029</v>
      </c>
      <c r="B6" s="943">
        <v>80</v>
      </c>
      <c r="C6" s="1248">
        <v>22</v>
      </c>
      <c r="D6" s="199">
        <v>11</v>
      </c>
      <c r="E6" s="199">
        <v>52</v>
      </c>
      <c r="F6" s="1249">
        <v>2572</v>
      </c>
      <c r="G6" s="1248">
        <f t="shared" si="0"/>
        <v>17.6</v>
      </c>
      <c r="H6" s="1248">
        <f t="shared" si="0"/>
        <v>8.8</v>
      </c>
      <c r="I6" s="1248">
        <f t="shared" si="0"/>
        <v>41.6</v>
      </c>
      <c r="J6" s="1262">
        <f t="shared" si="0"/>
        <v>2057.6</v>
      </c>
    </row>
    <row r="7" spans="1:10" ht="12.75">
      <c r="A7" s="1260" t="s">
        <v>1979</v>
      </c>
      <c r="B7" s="199">
        <v>150</v>
      </c>
      <c r="C7" s="1248">
        <v>0</v>
      </c>
      <c r="D7" s="199">
        <v>0</v>
      </c>
      <c r="E7" s="199">
        <v>0</v>
      </c>
      <c r="F7" s="1249">
        <v>0</v>
      </c>
      <c r="G7" s="1248">
        <f t="shared" si="0"/>
        <v>0</v>
      </c>
      <c r="H7" s="1248">
        <f t="shared" si="0"/>
        <v>0</v>
      </c>
      <c r="I7" s="1248">
        <f t="shared" si="0"/>
        <v>0</v>
      </c>
      <c r="J7" s="1262">
        <f t="shared" si="0"/>
        <v>0</v>
      </c>
    </row>
    <row r="8" spans="1:10" ht="13.5" thickBot="1">
      <c r="A8" s="1261" t="s">
        <v>3011</v>
      </c>
      <c r="B8" s="1255">
        <v>80</v>
      </c>
      <c r="C8" s="1263">
        <v>0</v>
      </c>
      <c r="D8" s="1255">
        <v>3</v>
      </c>
      <c r="E8" s="1255">
        <v>0</v>
      </c>
      <c r="F8" s="1264">
        <v>25</v>
      </c>
      <c r="G8" s="1263">
        <f t="shared" si="0"/>
        <v>0</v>
      </c>
      <c r="H8" s="1263">
        <f t="shared" si="0"/>
        <v>2.4</v>
      </c>
      <c r="I8" s="1263">
        <f t="shared" si="0"/>
        <v>0</v>
      </c>
      <c r="J8" s="1265">
        <f t="shared" si="0"/>
        <v>20</v>
      </c>
    </row>
    <row r="9" spans="1:10" ht="13.5" thickBot="1">
      <c r="A9" s="1269" t="s">
        <v>2972</v>
      </c>
      <c r="B9" s="1267">
        <f>SUM(B5:B8)</f>
        <v>790</v>
      </c>
      <c r="C9" s="1266">
        <f>G9/$B9*100</f>
        <v>6.481012658227849</v>
      </c>
      <c r="D9" s="1266">
        <f>H9/$B9*100</f>
        <v>12.354430379746836</v>
      </c>
      <c r="E9" s="1266">
        <f>I$9/$B9*100</f>
        <v>6.481012658227849</v>
      </c>
      <c r="F9" s="1266">
        <f>J9/$B9*100</f>
        <v>591.0886075949368</v>
      </c>
      <c r="G9" s="1267">
        <f>SUM(G5:G8)</f>
        <v>51.2</v>
      </c>
      <c r="H9" s="1267">
        <f>SUM(H5:H8)</f>
        <v>97.60000000000001</v>
      </c>
      <c r="I9" s="1267">
        <f>SUM(I5:I8)</f>
        <v>51.2</v>
      </c>
      <c r="J9" s="1268">
        <f>SUM(J5:J8)</f>
        <v>4669.6</v>
      </c>
    </row>
    <row r="10" spans="1:10" ht="13.5" thickBot="1">
      <c r="A10" s="1254" t="s">
        <v>1265</v>
      </c>
      <c r="B10" s="1255">
        <f>B9-B7</f>
        <v>640</v>
      </c>
      <c r="C10" s="1238"/>
      <c r="D10" s="1266"/>
      <c r="E10" s="1270">
        <f>I$9/$B10*100</f>
        <v>8</v>
      </c>
      <c r="F10" s="1238"/>
      <c r="G10" s="1256"/>
      <c r="H10" s="1256"/>
      <c r="I10" s="1256"/>
      <c r="J10" s="1257"/>
    </row>
    <row r="11" ht="12.75">
      <c r="E11" s="24" t="s">
        <v>1266</v>
      </c>
    </row>
  </sheetData>
  <sheetProtection/>
  <mergeCells count="3">
    <mergeCell ref="A1:F1"/>
    <mergeCell ref="C3:F3"/>
    <mergeCell ref="G3:J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ignoredErrors>
    <ignoredError sqref="E9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B8"/>
  <sheetViews>
    <sheetView zoomScale="220" zoomScaleNormal="220" zoomScalePageLayoutView="0" workbookViewId="0" topLeftCell="A1">
      <selection activeCell="C18" sqref="C18"/>
    </sheetView>
  </sheetViews>
  <sheetFormatPr defaultColWidth="11.421875" defaultRowHeight="12.75"/>
  <cols>
    <col min="1" max="1" width="11.421875" style="1247" customWidth="1"/>
    <col min="2" max="2" width="7.421875" style="0" customWidth="1"/>
  </cols>
  <sheetData>
    <row r="1" spans="1:2" ht="12.75">
      <c r="A1" s="1336"/>
      <c r="B1" s="39"/>
    </row>
    <row r="2" spans="1:2" ht="12.75">
      <c r="A2" s="1336" t="s">
        <v>1992</v>
      </c>
      <c r="B2" s="39">
        <v>44.6</v>
      </c>
    </row>
    <row r="3" spans="1:2" ht="12.75">
      <c r="A3" s="1336" t="s">
        <v>1115</v>
      </c>
      <c r="B3" s="39">
        <v>15.29</v>
      </c>
    </row>
    <row r="4" spans="1:2" ht="12.75">
      <c r="A4" s="1336" t="s">
        <v>761</v>
      </c>
      <c r="B4" s="39">
        <v>12.23</v>
      </c>
    </row>
    <row r="5" spans="1:2" ht="12.75">
      <c r="A5" s="1336" t="s">
        <v>272</v>
      </c>
      <c r="B5" s="39">
        <v>5.23</v>
      </c>
    </row>
    <row r="6" spans="1:2" ht="12.75">
      <c r="A6" s="1336" t="s">
        <v>1971</v>
      </c>
      <c r="B6" s="39">
        <v>6.57</v>
      </c>
    </row>
    <row r="7" spans="1:2" ht="12.75">
      <c r="A7" s="1337" t="s">
        <v>1971</v>
      </c>
      <c r="B7" s="1338">
        <v>1.34</v>
      </c>
    </row>
    <row r="8" spans="1:2" ht="12.75">
      <c r="A8" s="1336"/>
      <c r="B8" s="39">
        <f>SUM(B2:B7)</f>
        <v>85.26000000000002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7"/>
  <sheetViews>
    <sheetView zoomScale="163" zoomScaleNormal="163" zoomScalePageLayoutView="0" workbookViewId="0" topLeftCell="A1">
      <selection activeCell="A15" sqref="A15"/>
    </sheetView>
  </sheetViews>
  <sheetFormatPr defaultColWidth="11.421875" defaultRowHeight="12.75"/>
  <cols>
    <col min="1" max="1" width="45.28125" style="1" customWidth="1"/>
    <col min="2" max="4" width="5.28125" style="0" customWidth="1"/>
  </cols>
  <sheetData>
    <row r="1" ht="15">
      <c r="A1" s="337"/>
    </row>
    <row r="2" ht="15">
      <c r="A2" s="337"/>
    </row>
    <row r="3" spans="1:3" ht="15">
      <c r="A3" s="337" t="s">
        <v>1557</v>
      </c>
      <c r="B3" s="5">
        <v>3.77</v>
      </c>
      <c r="C3" s="5"/>
    </row>
    <row r="4" spans="1:3" ht="15">
      <c r="A4" s="337" t="s">
        <v>1209</v>
      </c>
      <c r="B4" s="5">
        <v>4.79</v>
      </c>
      <c r="C4" s="5"/>
    </row>
    <row r="5" spans="1:3" ht="15">
      <c r="A5" s="337" t="s">
        <v>1210</v>
      </c>
      <c r="B5" s="5">
        <v>4.87</v>
      </c>
      <c r="C5" s="5"/>
    </row>
    <row r="6" spans="1:3" ht="5.25" customHeight="1">
      <c r="A6" s="337"/>
      <c r="B6" s="5"/>
      <c r="C6" s="5"/>
    </row>
    <row r="7" spans="1:3" ht="15">
      <c r="A7" s="337" t="s">
        <v>1211</v>
      </c>
      <c r="B7" s="5">
        <v>3.9</v>
      </c>
      <c r="C7" s="5"/>
    </row>
    <row r="8" spans="1:4" ht="15">
      <c r="A8" s="337" t="s">
        <v>1634</v>
      </c>
      <c r="B8" s="5">
        <v>3.13</v>
      </c>
      <c r="C8" s="5">
        <v>4.76</v>
      </c>
      <c r="D8" s="5">
        <v>6.4</v>
      </c>
    </row>
    <row r="9" ht="15">
      <c r="A9" s="337"/>
    </row>
    <row r="10" ht="15">
      <c r="A10" s="337"/>
    </row>
    <row r="11" ht="15">
      <c r="A11" s="337"/>
    </row>
    <row r="12" ht="15">
      <c r="A12" s="337"/>
    </row>
    <row r="13" ht="15">
      <c r="A13" s="337"/>
    </row>
    <row r="14" ht="15">
      <c r="A14" s="337"/>
    </row>
    <row r="15" ht="15">
      <c r="A15" s="337"/>
    </row>
    <row r="16" ht="15">
      <c r="A16" s="337"/>
    </row>
    <row r="17" ht="15">
      <c r="A17" s="33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2" ht="12.75"/>
  </sheetData>
  <sheetProtection/>
  <printOptions/>
  <pageMargins left="0.787401575" right="0.787401575" top="0.984251969" bottom="0.984251969" header="0.5" footer="0.5"/>
  <pageSetup horizontalDpi="360" verticalDpi="36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5"/>
  <sheetViews>
    <sheetView zoomScale="75" zoomScaleNormal="75" zoomScalePageLayoutView="0" workbookViewId="0" topLeftCell="A1">
      <selection activeCell="C17" sqref="C17"/>
    </sheetView>
  </sheetViews>
  <sheetFormatPr defaultColWidth="9.140625" defaultRowHeight="12.75"/>
  <cols>
    <col min="1" max="1" width="14.421875" style="0" customWidth="1"/>
    <col min="2" max="2" width="24.00390625" style="0" customWidth="1"/>
    <col min="3" max="3" width="97.8515625" style="0" customWidth="1"/>
  </cols>
  <sheetData>
    <row r="1" spans="1:4" ht="18">
      <c r="A1" s="237"/>
      <c r="B1" s="238"/>
      <c r="C1" s="239"/>
      <c r="D1" s="47"/>
    </row>
    <row r="2" spans="1:3" s="171" customFormat="1" ht="23.25" thickBot="1">
      <c r="A2" s="240"/>
      <c r="B2" s="244" t="s">
        <v>2471</v>
      </c>
      <c r="C2" s="245" t="s">
        <v>690</v>
      </c>
    </row>
    <row r="3" spans="1:3" ht="17.25">
      <c r="A3" s="241"/>
      <c r="B3" s="242" t="s">
        <v>2152</v>
      </c>
      <c r="C3" s="243" t="s">
        <v>1293</v>
      </c>
    </row>
    <row r="4" spans="1:3" ht="17.25">
      <c r="A4" s="241"/>
      <c r="B4" s="242" t="s">
        <v>895</v>
      </c>
      <c r="C4" s="243" t="s">
        <v>896</v>
      </c>
    </row>
    <row r="5" spans="1:3" ht="17.25">
      <c r="A5" s="241"/>
      <c r="B5" s="242" t="s">
        <v>232</v>
      </c>
      <c r="C5" s="243" t="s">
        <v>572</v>
      </c>
    </row>
    <row r="6" spans="1:3" ht="17.25">
      <c r="A6" s="241"/>
      <c r="B6" s="242" t="s">
        <v>2446</v>
      </c>
      <c r="C6" s="243" t="s">
        <v>2329</v>
      </c>
    </row>
    <row r="7" spans="1:3" ht="17.25">
      <c r="A7" s="241"/>
      <c r="B7" s="242" t="s">
        <v>2663</v>
      </c>
      <c r="C7" s="243" t="s">
        <v>2664</v>
      </c>
    </row>
    <row r="8" spans="1:3" ht="17.25">
      <c r="A8" s="241"/>
      <c r="B8" s="242" t="s">
        <v>2202</v>
      </c>
      <c r="C8" s="243" t="s">
        <v>2268</v>
      </c>
    </row>
    <row r="9" spans="1:3" ht="17.25">
      <c r="A9" s="241"/>
      <c r="B9" s="608" t="s">
        <v>492</v>
      </c>
      <c r="C9" s="609" t="s">
        <v>493</v>
      </c>
    </row>
    <row r="10" spans="1:3" ht="17.25">
      <c r="A10" s="241"/>
      <c r="B10" s="242" t="s">
        <v>1093</v>
      </c>
      <c r="C10" s="243" t="s">
        <v>1781</v>
      </c>
    </row>
    <row r="11" spans="1:3" ht="17.25">
      <c r="A11" s="241"/>
      <c r="B11" s="242" t="s">
        <v>1366</v>
      </c>
      <c r="C11" s="243" t="s">
        <v>1367</v>
      </c>
    </row>
    <row r="12" spans="1:3" ht="17.25">
      <c r="A12" s="241"/>
      <c r="B12" s="242" t="s">
        <v>2573</v>
      </c>
      <c r="C12" s="243" t="s">
        <v>1766</v>
      </c>
    </row>
    <row r="13" spans="1:3" ht="17.25">
      <c r="A13" s="241"/>
      <c r="B13" s="242" t="s">
        <v>750</v>
      </c>
      <c r="C13" s="243" t="s">
        <v>751</v>
      </c>
    </row>
    <row r="14" spans="1:3" ht="17.25">
      <c r="A14" s="241"/>
      <c r="B14" s="242" t="s">
        <v>1673</v>
      </c>
      <c r="C14" s="243" t="s">
        <v>1276</v>
      </c>
    </row>
    <row r="15" spans="1:3" ht="17.25">
      <c r="A15" s="241"/>
      <c r="B15" s="242" t="s">
        <v>2714</v>
      </c>
      <c r="C15" s="243" t="s">
        <v>1605</v>
      </c>
    </row>
    <row r="16" spans="1:3" ht="17.25">
      <c r="A16" s="241"/>
      <c r="B16" s="242" t="s">
        <v>1553</v>
      </c>
      <c r="C16" s="243" t="s">
        <v>1556</v>
      </c>
    </row>
    <row r="17" spans="1:3" ht="17.25">
      <c r="A17" s="241"/>
      <c r="B17" s="242" t="s">
        <v>2399</v>
      </c>
      <c r="C17" s="243" t="s">
        <v>2400</v>
      </c>
    </row>
    <row r="18" spans="1:3" ht="17.25">
      <c r="A18" s="241"/>
      <c r="B18" s="242" t="s">
        <v>1554</v>
      </c>
      <c r="C18" s="243" t="s">
        <v>1555</v>
      </c>
    </row>
    <row r="19" spans="1:3" ht="17.25">
      <c r="A19" s="241"/>
      <c r="B19" s="242" t="s">
        <v>3008</v>
      </c>
      <c r="C19" s="243" t="s">
        <v>1760</v>
      </c>
    </row>
    <row r="20" spans="1:3" ht="17.25">
      <c r="A20" s="241"/>
      <c r="B20" s="242" t="s">
        <v>1758</v>
      </c>
      <c r="C20" s="243" t="s">
        <v>1759</v>
      </c>
    </row>
    <row r="21" spans="1:3" ht="17.25">
      <c r="A21" s="243"/>
      <c r="B21" s="242" t="s">
        <v>2308</v>
      </c>
      <c r="C21" s="243" t="s">
        <v>1782</v>
      </c>
    </row>
    <row r="22" spans="1:3" ht="17.25">
      <c r="A22" s="243"/>
      <c r="B22" s="242" t="s">
        <v>2211</v>
      </c>
      <c r="C22" s="243" t="s">
        <v>1783</v>
      </c>
    </row>
    <row r="23" spans="1:3" ht="17.25">
      <c r="A23" s="243"/>
      <c r="B23" s="242" t="s">
        <v>1403</v>
      </c>
      <c r="C23" s="243" t="s">
        <v>2749</v>
      </c>
    </row>
    <row r="24" spans="1:3" ht="17.25">
      <c r="A24" s="241"/>
      <c r="B24" s="242" t="s">
        <v>1315</v>
      </c>
      <c r="C24" s="243" t="s">
        <v>2925</v>
      </c>
    </row>
    <row r="25" spans="1:3" ht="17.25">
      <c r="A25" s="241"/>
      <c r="B25" s="486" t="s">
        <v>31</v>
      </c>
      <c r="C25" s="487" t="s">
        <v>962</v>
      </c>
    </row>
    <row r="26" spans="1:3" ht="17.25">
      <c r="A26" s="241"/>
      <c r="B26" s="242" t="s">
        <v>2926</v>
      </c>
      <c r="C26" s="243" t="s">
        <v>2927</v>
      </c>
    </row>
    <row r="27" spans="1:3" ht="17.25">
      <c r="A27" s="241"/>
      <c r="B27" s="242" t="s">
        <v>549</v>
      </c>
      <c r="C27" s="243" t="s">
        <v>1344</v>
      </c>
    </row>
    <row r="28" spans="1:3" ht="17.25">
      <c r="A28" s="241"/>
      <c r="B28" s="242" t="s">
        <v>440</v>
      </c>
      <c r="C28" s="243" t="s">
        <v>3075</v>
      </c>
    </row>
    <row r="29" spans="1:3" ht="17.25">
      <c r="A29" s="241"/>
      <c r="B29" s="242" t="s">
        <v>1552</v>
      </c>
      <c r="C29" s="243" t="s">
        <v>79</v>
      </c>
    </row>
    <row r="30" spans="1:3" ht="17.25">
      <c r="A30" s="241"/>
      <c r="B30" s="242" t="s">
        <v>1028</v>
      </c>
      <c r="C30" s="243" t="s">
        <v>3062</v>
      </c>
    </row>
    <row r="31" spans="1:3" ht="17.25">
      <c r="A31" s="241"/>
      <c r="B31" s="242" t="s">
        <v>1453</v>
      </c>
      <c r="C31" s="243" t="s">
        <v>599</v>
      </c>
    </row>
    <row r="32" spans="1:3" ht="17.25">
      <c r="A32" s="241"/>
      <c r="B32" s="242" t="s">
        <v>786</v>
      </c>
      <c r="C32" s="243" t="s">
        <v>1293</v>
      </c>
    </row>
    <row r="33" spans="1:3" ht="17.25">
      <c r="A33" s="243"/>
      <c r="B33" s="242" t="s">
        <v>373</v>
      </c>
      <c r="C33" s="243" t="s">
        <v>2934</v>
      </c>
    </row>
    <row r="34" spans="1:3" ht="17.25">
      <c r="A34" s="243"/>
      <c r="B34" s="242" t="s">
        <v>1584</v>
      </c>
      <c r="C34" s="243" t="s">
        <v>1585</v>
      </c>
    </row>
    <row r="35" spans="1:3" ht="17.25">
      <c r="A35" s="243"/>
      <c r="B35" s="242" t="s">
        <v>1666</v>
      </c>
      <c r="C35" s="243" t="s">
        <v>526</v>
      </c>
    </row>
    <row r="36" spans="1:3" ht="17.25">
      <c r="A36" s="241"/>
      <c r="B36" s="242" t="s">
        <v>768</v>
      </c>
      <c r="C36" s="243" t="s">
        <v>1342</v>
      </c>
    </row>
    <row r="37" spans="1:3" ht="17.25">
      <c r="A37" s="241"/>
      <c r="B37" s="242" t="s">
        <v>1651</v>
      </c>
      <c r="C37" s="243" t="s">
        <v>755</v>
      </c>
    </row>
    <row r="38" spans="1:3" ht="17.25">
      <c r="A38" s="241"/>
      <c r="B38" s="242" t="s">
        <v>836</v>
      </c>
      <c r="C38" s="243" t="s">
        <v>2244</v>
      </c>
    </row>
    <row r="39" spans="1:3" ht="17.25">
      <c r="A39" s="241"/>
      <c r="B39" s="242" t="s">
        <v>466</v>
      </c>
      <c r="C39" s="243" t="s">
        <v>815</v>
      </c>
    </row>
    <row r="40" spans="1:3" ht="17.25">
      <c r="A40" s="241"/>
      <c r="B40" s="242" t="s">
        <v>3076</v>
      </c>
      <c r="C40" s="243" t="s">
        <v>756</v>
      </c>
    </row>
    <row r="41" spans="1:3" ht="17.25">
      <c r="A41" s="241"/>
      <c r="B41" s="242" t="s">
        <v>2049</v>
      </c>
      <c r="C41" s="243" t="s">
        <v>1452</v>
      </c>
    </row>
    <row r="42" spans="2:3" ht="17.25">
      <c r="B42" s="242"/>
      <c r="C42" s="243"/>
    </row>
    <row r="43" spans="2:3" ht="17.25">
      <c r="B43" s="242"/>
      <c r="C43" s="243"/>
    </row>
    <row r="44" spans="2:3" ht="17.25">
      <c r="B44" s="242"/>
      <c r="C44" s="243"/>
    </row>
    <row r="45" spans="2:3" ht="17.25">
      <c r="B45" s="242"/>
      <c r="C45" s="243"/>
    </row>
    <row r="46" spans="2:3" ht="17.25">
      <c r="B46" s="242"/>
      <c r="C46" s="243"/>
    </row>
    <row r="47" spans="2:3" ht="17.25">
      <c r="B47" s="242"/>
      <c r="C47" s="243"/>
    </row>
    <row r="48" spans="2:3" ht="17.25">
      <c r="B48" s="242"/>
      <c r="C48" s="243"/>
    </row>
    <row r="49" spans="2:3" ht="17.25">
      <c r="B49" s="242"/>
      <c r="C49" s="243"/>
    </row>
    <row r="50" spans="2:3" ht="17.25">
      <c r="B50" s="242"/>
      <c r="C50" s="243"/>
    </row>
    <row r="51" spans="2:3" ht="17.25">
      <c r="B51" s="242"/>
      <c r="C51" s="243"/>
    </row>
    <row r="52" spans="2:3" ht="17.25">
      <c r="B52" s="242"/>
      <c r="C52" s="243"/>
    </row>
    <row r="53" spans="2:3" ht="17.25">
      <c r="B53" s="242"/>
      <c r="C53" s="243"/>
    </row>
    <row r="54" spans="2:3" ht="17.25">
      <c r="B54" s="242"/>
      <c r="C54" s="243"/>
    </row>
    <row r="55" spans="2:3" ht="17.25">
      <c r="B55" s="242"/>
      <c r="C55" s="243"/>
    </row>
  </sheetData>
  <sheetProtection/>
  <printOptions/>
  <pageMargins left="0.787401575" right="0.787401575" top="0.984251969" bottom="0.984251969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4"/>
  <sheetViews>
    <sheetView zoomScalePageLayoutView="0" workbookViewId="0" topLeftCell="B21">
      <selection activeCell="C66" sqref="C66"/>
    </sheetView>
  </sheetViews>
  <sheetFormatPr defaultColWidth="9.140625" defaultRowHeight="12.75"/>
  <cols>
    <col min="1" max="1" width="37.28125" style="0" bestFit="1" customWidth="1"/>
    <col min="2" max="2" width="21.421875" style="0" bestFit="1" customWidth="1"/>
    <col min="3" max="3" width="107.57421875" style="0" customWidth="1"/>
  </cols>
  <sheetData>
    <row r="1" spans="1:3" s="171" customFormat="1" ht="19.5" thickBot="1">
      <c r="A1" s="368" t="s">
        <v>59</v>
      </c>
      <c r="B1" s="182" t="s">
        <v>2471</v>
      </c>
      <c r="C1" s="183" t="s">
        <v>705</v>
      </c>
    </row>
    <row r="2" spans="1:3" s="3" customFormat="1" ht="15">
      <c r="A2" s="1143"/>
      <c r="B2" s="141" t="s">
        <v>1000</v>
      </c>
      <c r="C2" s="142" t="s">
        <v>2959</v>
      </c>
    </row>
    <row r="3" spans="2:4" ht="15">
      <c r="B3" s="141" t="s">
        <v>2939</v>
      </c>
      <c r="C3" s="142" t="s">
        <v>2961</v>
      </c>
      <c r="D3" s="47"/>
    </row>
    <row r="4" spans="2:4" ht="15">
      <c r="B4" s="1334" t="s">
        <v>2960</v>
      </c>
      <c r="C4" s="1335" t="s">
        <v>2962</v>
      </c>
      <c r="D4" s="47"/>
    </row>
    <row r="5" spans="1:4" s="463" customFormat="1" ht="11.25">
      <c r="A5" s="476"/>
      <c r="B5" s="477" t="s">
        <v>553</v>
      </c>
      <c r="C5" s="479" t="s">
        <v>1723</v>
      </c>
      <c r="D5" s="478"/>
    </row>
    <row r="6" spans="1:4" s="391" customFormat="1" ht="12.75">
      <c r="A6" s="471"/>
      <c r="B6" s="480" t="s">
        <v>1448</v>
      </c>
      <c r="C6" s="481" t="s">
        <v>665</v>
      </c>
      <c r="D6" s="332"/>
    </row>
    <row r="7" spans="1:4" s="391" customFormat="1" ht="12.75">
      <c r="A7" s="482"/>
      <c r="B7" s="782" t="s">
        <v>600</v>
      </c>
      <c r="C7" s="783" t="s">
        <v>2274</v>
      </c>
      <c r="D7" s="332"/>
    </row>
    <row r="8" spans="1:4" ht="15">
      <c r="A8" s="683" t="s">
        <v>2166</v>
      </c>
      <c r="B8" s="683" t="s">
        <v>757</v>
      </c>
      <c r="C8" s="188" t="s">
        <v>3014</v>
      </c>
      <c r="D8" s="47"/>
    </row>
    <row r="9" spans="2:4" ht="15">
      <c r="B9" s="172" t="s">
        <v>47</v>
      </c>
      <c r="C9" s="173" t="s">
        <v>48</v>
      </c>
      <c r="D9" s="47"/>
    </row>
    <row r="10" spans="2:4" ht="15">
      <c r="B10" s="143" t="s">
        <v>1982</v>
      </c>
      <c r="C10" s="144" t="s">
        <v>2909</v>
      </c>
      <c r="D10" s="47"/>
    </row>
    <row r="11" spans="2:4" s="336" customFormat="1" ht="15">
      <c r="B11" s="472" t="s">
        <v>2043</v>
      </c>
      <c r="C11" s="473" t="s">
        <v>1915</v>
      </c>
      <c r="D11" s="474"/>
    </row>
    <row r="12" spans="2:4" s="336" customFormat="1" ht="15">
      <c r="B12" s="472" t="s">
        <v>574</v>
      </c>
      <c r="C12" s="188" t="s">
        <v>2273</v>
      </c>
      <c r="D12" s="474"/>
    </row>
    <row r="13" spans="2:4" s="336" customFormat="1" ht="15">
      <c r="B13" s="472" t="s">
        <v>13</v>
      </c>
      <c r="C13" s="473" t="s">
        <v>1361</v>
      </c>
      <c r="D13" s="474"/>
    </row>
    <row r="14" spans="1:4" s="33" customFormat="1" ht="12.75">
      <c r="A14" s="277" t="s">
        <v>996</v>
      </c>
      <c r="B14" s="363" t="s">
        <v>523</v>
      </c>
      <c r="C14" s="475" t="s">
        <v>438</v>
      </c>
      <c r="D14" s="88"/>
    </row>
    <row r="15" spans="2:4" s="447" customFormat="1" ht="12.75">
      <c r="B15" s="805" t="s">
        <v>1396</v>
      </c>
      <c r="C15" s="806" t="s">
        <v>788</v>
      </c>
      <c r="D15" s="448"/>
    </row>
    <row r="16" spans="1:4" s="49" customFormat="1" ht="15">
      <c r="A16" s="369" t="s">
        <v>3061</v>
      </c>
      <c r="B16" s="143" t="s">
        <v>1338</v>
      </c>
      <c r="C16" s="188" t="s">
        <v>3088</v>
      </c>
      <c r="D16" s="47"/>
    </row>
    <row r="17" spans="1:4" ht="15">
      <c r="A17" s="184"/>
      <c r="B17" s="363" t="s">
        <v>784</v>
      </c>
      <c r="C17" s="364" t="s">
        <v>402</v>
      </c>
      <c r="D17" s="47"/>
    </row>
    <row r="18" spans="1:4" s="49" customFormat="1" ht="15">
      <c r="A18" s="465"/>
      <c r="B18" s="143" t="s">
        <v>694</v>
      </c>
      <c r="C18" s="144" t="s">
        <v>524</v>
      </c>
      <c r="D18" s="47"/>
    </row>
    <row r="19" spans="1:4" s="49" customFormat="1" ht="15">
      <c r="A19" s="465"/>
      <c r="B19" s="845" t="s">
        <v>695</v>
      </c>
      <c r="C19" s="144" t="s">
        <v>3108</v>
      </c>
      <c r="D19" s="47"/>
    </row>
    <row r="20" spans="1:4" s="49" customFormat="1" ht="15">
      <c r="A20" s="465"/>
      <c r="B20" s="143" t="s">
        <v>696</v>
      </c>
      <c r="C20" s="144" t="s">
        <v>2147</v>
      </c>
      <c r="D20" s="47"/>
    </row>
    <row r="21" spans="1:4" s="49" customFormat="1" ht="15">
      <c r="A21" s="465"/>
      <c r="B21" s="143" t="s">
        <v>2146</v>
      </c>
      <c r="C21" s="144" t="s">
        <v>2765</v>
      </c>
      <c r="D21" s="47"/>
    </row>
    <row r="22" spans="2:4" ht="15">
      <c r="B22" s="172" t="s">
        <v>372</v>
      </c>
      <c r="C22" s="173" t="s">
        <v>558</v>
      </c>
      <c r="D22" s="47"/>
    </row>
    <row r="23" spans="1:4" s="33" customFormat="1" ht="10.5" customHeight="1" hidden="1">
      <c r="A23" s="207" t="s">
        <v>2151</v>
      </c>
      <c r="B23" s="365" t="s">
        <v>2407</v>
      </c>
      <c r="C23" s="366" t="s">
        <v>862</v>
      </c>
      <c r="D23" s="88"/>
    </row>
    <row r="24" spans="2:4" ht="15">
      <c r="B24" s="141" t="s">
        <v>2624</v>
      </c>
      <c r="C24" s="142" t="s">
        <v>1867</v>
      </c>
      <c r="D24" s="47"/>
    </row>
    <row r="25" spans="2:4" ht="15">
      <c r="B25" s="141" t="s">
        <v>73</v>
      </c>
      <c r="C25" s="367" t="s">
        <v>2295</v>
      </c>
      <c r="D25" s="47"/>
    </row>
    <row r="26" spans="2:4" ht="15">
      <c r="B26" s="141" t="s">
        <v>2515</v>
      </c>
      <c r="C26" s="204" t="s">
        <v>2103</v>
      </c>
      <c r="D26" s="47"/>
    </row>
    <row r="27" spans="2:4" ht="15">
      <c r="B27" s="141" t="s">
        <v>2186</v>
      </c>
      <c r="C27" s="367" t="s">
        <v>2405</v>
      </c>
      <c r="D27" s="47"/>
    </row>
    <row r="28" spans="2:4" ht="12" customHeight="1">
      <c r="B28" s="979" t="s">
        <v>828</v>
      </c>
      <c r="C28" s="980" t="s">
        <v>1181</v>
      </c>
      <c r="D28" s="47"/>
    </row>
    <row r="29" spans="2:4" ht="15">
      <c r="B29" s="141" t="s">
        <v>1853</v>
      </c>
      <c r="C29" s="367" t="s">
        <v>660</v>
      </c>
      <c r="D29" s="47"/>
    </row>
    <row r="30" spans="2:4" ht="15">
      <c r="B30" s="246" t="s">
        <v>2760</v>
      </c>
      <c r="C30" s="804" t="s">
        <v>2861</v>
      </c>
      <c r="D30" s="47"/>
    </row>
    <row r="31" spans="2:4" s="33" customFormat="1" ht="12.75">
      <c r="B31" s="203" t="s">
        <v>2007</v>
      </c>
      <c r="C31" s="204" t="s">
        <v>271</v>
      </c>
      <c r="D31" s="88"/>
    </row>
    <row r="32" spans="2:4" s="33" customFormat="1" ht="12.75">
      <c r="B32" s="203" t="s">
        <v>1253</v>
      </c>
      <c r="C32" s="204" t="s">
        <v>1574</v>
      </c>
      <c r="D32" s="88"/>
    </row>
    <row r="33" spans="2:4" ht="15">
      <c r="B33" s="203" t="s">
        <v>1254</v>
      </c>
      <c r="C33" s="204" t="s">
        <v>230</v>
      </c>
      <c r="D33" s="47"/>
    </row>
    <row r="34" spans="2:4" s="33" customFormat="1" ht="12.75" hidden="1">
      <c r="B34" s="64" t="s">
        <v>2392</v>
      </c>
      <c r="C34" s="65" t="s">
        <v>2616</v>
      </c>
      <c r="D34" s="88"/>
    </row>
    <row r="35" spans="1:4" s="470" customFormat="1" ht="12.75">
      <c r="A35" s="466"/>
      <c r="B35" s="467" t="s">
        <v>1036</v>
      </c>
      <c r="C35" s="468" t="s">
        <v>2389</v>
      </c>
      <c r="D35" s="469"/>
    </row>
    <row r="36" spans="1:4" ht="15">
      <c r="A36" s="5"/>
      <c r="B36" s="143" t="s">
        <v>941</v>
      </c>
      <c r="C36" s="144" t="s">
        <v>3109</v>
      </c>
      <c r="D36" s="47"/>
    </row>
    <row r="37" spans="1:4" s="470" customFormat="1" ht="12.75">
      <c r="A37" s="466"/>
      <c r="B37" s="467" t="s">
        <v>2904</v>
      </c>
      <c r="C37" s="468" t="s">
        <v>718</v>
      </c>
      <c r="D37" s="469"/>
    </row>
    <row r="38" spans="1:4" ht="15">
      <c r="A38" s="185" t="s">
        <v>2242</v>
      </c>
      <c r="B38" s="172" t="s">
        <v>673</v>
      </c>
      <c r="C38" s="173" t="s">
        <v>2629</v>
      </c>
      <c r="D38" s="47"/>
    </row>
    <row r="39" spans="1:4" ht="15">
      <c r="A39" s="5"/>
      <c r="B39" s="141" t="s">
        <v>3</v>
      </c>
      <c r="C39" s="142" t="s">
        <v>1711</v>
      </c>
      <c r="D39" s="47"/>
    </row>
    <row r="40" spans="1:4" s="33" customFormat="1" ht="12.75">
      <c r="A40" s="185"/>
      <c r="B40" s="1107" t="s">
        <v>1913</v>
      </c>
      <c r="C40" s="1108" t="s">
        <v>1914</v>
      </c>
      <c r="D40" s="88"/>
    </row>
    <row r="41" spans="1:4" s="33" customFormat="1" ht="12.75">
      <c r="A41" s="186" t="s">
        <v>1640</v>
      </c>
      <c r="B41" s="213" t="s">
        <v>1430</v>
      </c>
      <c r="C41" s="214" t="s">
        <v>2357</v>
      </c>
      <c r="D41" s="88"/>
    </row>
    <row r="42" spans="1:4" s="33" customFormat="1" ht="12.75">
      <c r="A42" s="186"/>
      <c r="B42" s="203" t="s">
        <v>106</v>
      </c>
      <c r="C42" s="204" t="s">
        <v>746</v>
      </c>
      <c r="D42" s="88"/>
    </row>
    <row r="43" spans="1:4" s="33" customFormat="1" ht="12.75">
      <c r="A43" s="186"/>
      <c r="B43" s="203" t="s">
        <v>2365</v>
      </c>
      <c r="C43" s="204" t="s">
        <v>2366</v>
      </c>
      <c r="D43" s="88"/>
    </row>
    <row r="44" spans="1:4" ht="15">
      <c r="A44" s="187" t="s">
        <v>2771</v>
      </c>
      <c r="B44" s="141" t="s">
        <v>2866</v>
      </c>
      <c r="C44" s="142" t="s">
        <v>2591</v>
      </c>
      <c r="D44" s="47"/>
    </row>
    <row r="45" spans="1:4" ht="15">
      <c r="A45" s="187" t="s">
        <v>2771</v>
      </c>
      <c r="B45" s="141" t="s">
        <v>2867</v>
      </c>
      <c r="C45" s="142" t="s">
        <v>2868</v>
      </c>
      <c r="D45" s="47"/>
    </row>
    <row r="46" spans="1:4" ht="15">
      <c r="A46" s="86" t="s">
        <v>1733</v>
      </c>
      <c r="B46" s="172" t="s">
        <v>2030</v>
      </c>
      <c r="C46" s="173" t="s">
        <v>444</v>
      </c>
      <c r="D46" s="47"/>
    </row>
    <row r="47" spans="1:4" ht="15">
      <c r="A47" s="683" t="s">
        <v>2166</v>
      </c>
      <c r="B47" s="683" t="s">
        <v>1013</v>
      </c>
      <c r="C47" s="188" t="s">
        <v>3014</v>
      </c>
      <c r="D47" s="47"/>
    </row>
    <row r="48" spans="1:4" s="49" customFormat="1" ht="15">
      <c r="A48" s="465"/>
      <c r="B48" s="203" t="s">
        <v>2525</v>
      </c>
      <c r="C48" s="204" t="s">
        <v>146</v>
      </c>
      <c r="D48" s="47"/>
    </row>
    <row r="49" spans="1:4" ht="15">
      <c r="A49" s="184"/>
      <c r="B49" s="203" t="s">
        <v>1150</v>
      </c>
      <c r="C49" s="204" t="s">
        <v>371</v>
      </c>
      <c r="D49" s="47"/>
    </row>
    <row r="50" spans="1:4" s="49" customFormat="1" ht="15">
      <c r="A50" s="465"/>
      <c r="B50" s="846" t="s">
        <v>305</v>
      </c>
      <c r="C50" s="847" t="s">
        <v>306</v>
      </c>
      <c r="D50" s="47"/>
    </row>
    <row r="51" spans="1:4" ht="15">
      <c r="A51" s="184"/>
      <c r="B51" s="203" t="s">
        <v>1446</v>
      </c>
      <c r="C51" s="204" t="s">
        <v>811</v>
      </c>
      <c r="D51" s="47"/>
    </row>
    <row r="52" spans="1:4" ht="15">
      <c r="A52" s="184"/>
      <c r="B52" s="203" t="s">
        <v>34</v>
      </c>
      <c r="C52" s="204" t="s">
        <v>193</v>
      </c>
      <c r="D52" s="47"/>
    </row>
    <row r="53" spans="1:4" ht="15">
      <c r="A53" s="184"/>
      <c r="B53" s="203" t="s">
        <v>868</v>
      </c>
      <c r="C53" s="204" t="s">
        <v>288</v>
      </c>
      <c r="D53" s="47"/>
    </row>
    <row r="54" spans="1:4" s="33" customFormat="1" ht="15">
      <c r="A54" s="184"/>
      <c r="B54" s="246" t="s">
        <v>1709</v>
      </c>
      <c r="C54" s="118" t="s">
        <v>2207</v>
      </c>
      <c r="D54" s="47"/>
    </row>
    <row r="55" spans="1:4" ht="15">
      <c r="A55" s="184"/>
      <c r="B55" s="203" t="s">
        <v>2092</v>
      </c>
      <c r="C55" s="204" t="s">
        <v>1374</v>
      </c>
      <c r="D55" s="47"/>
    </row>
    <row r="56" spans="1:4" s="463" customFormat="1" ht="11.25">
      <c r="A56" s="812"/>
      <c r="B56" s="813" t="s">
        <v>1345</v>
      </c>
      <c r="C56" s="814" t="s">
        <v>1375</v>
      </c>
      <c r="D56" s="598"/>
    </row>
    <row r="57" spans="1:4" s="463" customFormat="1" ht="11.25">
      <c r="A57" s="812"/>
      <c r="B57" s="813" t="s">
        <v>1346</v>
      </c>
      <c r="C57" s="814" t="s">
        <v>210</v>
      </c>
      <c r="D57" s="598"/>
    </row>
    <row r="58" spans="1:4" s="463" customFormat="1" ht="11.25">
      <c r="A58" s="812"/>
      <c r="B58" s="813" t="s">
        <v>1347</v>
      </c>
      <c r="C58" s="814" t="s">
        <v>1373</v>
      </c>
      <c r="D58" s="598"/>
    </row>
    <row r="59" spans="1:4" s="463" customFormat="1" ht="11.25">
      <c r="A59" s="812"/>
      <c r="B59" s="813" t="s">
        <v>1376</v>
      </c>
      <c r="C59" s="814" t="s">
        <v>1377</v>
      </c>
      <c r="D59" s="598"/>
    </row>
    <row r="60" spans="1:4" ht="15">
      <c r="A60" s="184"/>
      <c r="B60" s="203" t="s">
        <v>33</v>
      </c>
      <c r="C60" s="204" t="s">
        <v>1323</v>
      </c>
      <c r="D60" s="47"/>
    </row>
    <row r="61" spans="1:4" s="33" customFormat="1" ht="15">
      <c r="A61" s="184"/>
      <c r="B61" s="213" t="s">
        <v>2050</v>
      </c>
      <c r="C61" s="214" t="s">
        <v>1136</v>
      </c>
      <c r="D61" s="47"/>
    </row>
    <row r="62" spans="1:4" s="49" customFormat="1" ht="15">
      <c r="A62" s="465"/>
      <c r="B62" s="141" t="s">
        <v>1960</v>
      </c>
      <c r="C62" s="142" t="s">
        <v>672</v>
      </c>
      <c r="D62" s="47"/>
    </row>
    <row r="63" spans="1:4" ht="15">
      <c r="A63" s="184"/>
      <c r="B63" s="259" t="s">
        <v>1467</v>
      </c>
      <c r="C63" s="260" t="s">
        <v>1466</v>
      </c>
      <c r="D63" s="47"/>
    </row>
    <row r="64" spans="1:4" ht="15">
      <c r="A64" s="184"/>
      <c r="B64" s="259" t="s">
        <v>2690</v>
      </c>
      <c r="C64" s="260" t="s">
        <v>2391</v>
      </c>
      <c r="D64" s="47"/>
    </row>
    <row r="65" spans="1:4" ht="15">
      <c r="A65" s="184"/>
      <c r="B65" s="203" t="s">
        <v>1087</v>
      </c>
      <c r="C65" s="204" t="s">
        <v>2950</v>
      </c>
      <c r="D65" s="47"/>
    </row>
    <row r="66" spans="1:4" ht="15">
      <c r="A66" s="184"/>
      <c r="B66" s="203" t="s">
        <v>2949</v>
      </c>
      <c r="C66" s="1019" t="s">
        <v>247</v>
      </c>
      <c r="D66" s="47"/>
    </row>
    <row r="67" spans="1:4" ht="15">
      <c r="A67" s="184"/>
      <c r="B67" s="203" t="s">
        <v>1642</v>
      </c>
      <c r="C67" s="204" t="s">
        <v>285</v>
      </c>
      <c r="D67" s="47"/>
    </row>
    <row r="68" spans="1:4" ht="15">
      <c r="A68" s="184"/>
      <c r="B68" s="203" t="s">
        <v>286</v>
      </c>
      <c r="C68" s="204" t="s">
        <v>2103</v>
      </c>
      <c r="D68" s="47"/>
    </row>
    <row r="69" spans="1:4" s="49" customFormat="1" ht="15">
      <c r="A69" s="1045" t="s">
        <v>1675</v>
      </c>
      <c r="B69" s="143" t="s">
        <v>2905</v>
      </c>
      <c r="C69" s="144" t="s">
        <v>1599</v>
      </c>
      <c r="D69" s="47"/>
    </row>
    <row r="70" spans="1:4" s="49" customFormat="1" ht="15">
      <c r="A70" s="369"/>
      <c r="B70" s="143" t="s">
        <v>2739</v>
      </c>
      <c r="C70" s="188" t="s">
        <v>3093</v>
      </c>
      <c r="D70" s="47"/>
    </row>
    <row r="71" spans="1:4" ht="15">
      <c r="A71" s="184"/>
      <c r="B71" s="141" t="s">
        <v>951</v>
      </c>
      <c r="C71" s="142" t="s">
        <v>1571</v>
      </c>
      <c r="D71" s="47"/>
    </row>
    <row r="72" spans="1:4" ht="15">
      <c r="A72" s="184"/>
      <c r="B72" s="141" t="s">
        <v>3047</v>
      </c>
      <c r="C72" s="142" t="s">
        <v>909</v>
      </c>
      <c r="D72" s="47"/>
    </row>
    <row r="73" spans="1:4" ht="15">
      <c r="A73" s="184"/>
      <c r="B73" s="141" t="s">
        <v>2645</v>
      </c>
      <c r="C73" s="142" t="s">
        <v>1893</v>
      </c>
      <c r="D73" s="47"/>
    </row>
    <row r="74" spans="1:4" ht="15">
      <c r="A74" s="184"/>
      <c r="B74" s="141" t="s">
        <v>2487</v>
      </c>
      <c r="C74" s="142" t="s">
        <v>32</v>
      </c>
      <c r="D74" s="47"/>
    </row>
    <row r="75" spans="1:4" s="33" customFormat="1" ht="12.75">
      <c r="A75" s="464" t="s">
        <v>3061</v>
      </c>
      <c r="B75" s="213" t="s">
        <v>2965</v>
      </c>
      <c r="C75" s="214" t="s">
        <v>1672</v>
      </c>
      <c r="D75" s="88"/>
    </row>
    <row r="76" spans="1:4" s="33" customFormat="1" ht="12.75">
      <c r="A76" s="184"/>
      <c r="B76" s="213" t="s">
        <v>2372</v>
      </c>
      <c r="C76" s="214" t="s">
        <v>2373</v>
      </c>
      <c r="D76" s="88"/>
    </row>
    <row r="77" spans="1:4" ht="15">
      <c r="A77" s="187" t="s">
        <v>2771</v>
      </c>
      <c r="B77" s="141" t="s">
        <v>2080</v>
      </c>
      <c r="C77" s="142" t="s">
        <v>2081</v>
      </c>
      <c r="D77" s="47"/>
    </row>
    <row r="80" spans="1:3" ht="12.75">
      <c r="A80" t="s">
        <v>1148</v>
      </c>
      <c r="B80" s="213" t="s">
        <v>1966</v>
      </c>
      <c r="C80" t="s">
        <v>1164</v>
      </c>
    </row>
    <row r="81" ht="15">
      <c r="C81" s="325" t="s">
        <v>816</v>
      </c>
    </row>
    <row r="82" ht="12.75">
      <c r="C82" s="1019"/>
    </row>
    <row r="84" ht="17.25">
      <c r="C84" s="324"/>
    </row>
  </sheetData>
  <sheetProtection/>
  <hyperlinks>
    <hyperlink ref="C81" r:id="rId1" display="www.lebensfreundlich.at"/>
    <hyperlink ref="C5" r:id="rId2" display="http://www.oekokiste.com/adamah   ist nicht mehr aktiv ! "/>
    <hyperlink ref="C66" r:id="rId3" display="www.spar.at"/>
  </hyperlinks>
  <printOptions/>
  <pageMargins left="0.787401575" right="0.787401575" top="0.984251969" bottom="0.984251969" header="0.5" footer="0.5"/>
  <pageSetup horizontalDpi="360" verticalDpi="360" orientation="portrait" paperSize="9" r:id="rId6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77"/>
  <sheetViews>
    <sheetView zoomScalePageLayoutView="0" workbookViewId="0" topLeftCell="A1">
      <selection activeCell="C17" sqref="C17"/>
    </sheetView>
  </sheetViews>
  <sheetFormatPr defaultColWidth="11.421875" defaultRowHeight="12.75"/>
  <cols>
    <col min="1" max="1" width="32.8515625" style="1" customWidth="1"/>
    <col min="2" max="2" width="2.421875" style="0" customWidth="1"/>
    <col min="3" max="3" width="53.8515625" style="0" bestFit="1" customWidth="1"/>
    <col min="4" max="4" width="30.421875" style="0" customWidth="1"/>
  </cols>
  <sheetData>
    <row r="1" spans="1:3" ht="12.75">
      <c r="A1" s="1598" t="s">
        <v>813</v>
      </c>
      <c r="B1" s="1598"/>
      <c r="C1" s="1599"/>
    </row>
    <row r="2" spans="1:3" ht="12.75">
      <c r="A2" s="1598"/>
      <c r="B2" s="1598"/>
      <c r="C2" s="1599"/>
    </row>
    <row r="4" spans="1:4" ht="15">
      <c r="A4" s="52" t="s">
        <v>1971</v>
      </c>
      <c r="B4" s="39"/>
      <c r="C4" s="289" t="s">
        <v>2722</v>
      </c>
      <c r="D4" s="88"/>
    </row>
    <row r="5" spans="1:4" ht="15">
      <c r="A5" s="52" t="s">
        <v>2551</v>
      </c>
      <c r="B5" s="39"/>
      <c r="C5" s="289" t="s">
        <v>2722</v>
      </c>
      <c r="D5" s="88"/>
    </row>
    <row r="6" spans="1:4" s="33" customFormat="1" ht="12.75">
      <c r="A6" s="31" t="s">
        <v>1970</v>
      </c>
      <c r="C6" s="33" t="s">
        <v>1576</v>
      </c>
      <c r="D6" s="1008"/>
    </row>
    <row r="7" spans="1:4" ht="6.75" customHeight="1">
      <c r="A7" s="48"/>
      <c r="B7" s="33"/>
      <c r="C7" s="49"/>
      <c r="D7" s="1008"/>
    </row>
    <row r="8" spans="1:4" ht="15">
      <c r="A8" s="48" t="s">
        <v>164</v>
      </c>
      <c r="B8" s="33"/>
      <c r="C8" s="49" t="s">
        <v>893</v>
      </c>
      <c r="D8" s="88"/>
    </row>
    <row r="9" spans="1:4" ht="15">
      <c r="A9" s="48" t="s">
        <v>372</v>
      </c>
      <c r="B9" s="33"/>
      <c r="C9" s="49" t="s">
        <v>152</v>
      </c>
      <c r="D9" s="88"/>
    </row>
    <row r="10" spans="1:4" ht="15">
      <c r="A10" s="48" t="s">
        <v>1727</v>
      </c>
      <c r="B10" s="33"/>
      <c r="C10" s="49" t="s">
        <v>2797</v>
      </c>
      <c r="D10" s="88"/>
    </row>
    <row r="11" spans="1:4" ht="15">
      <c r="A11" s="48" t="s">
        <v>236</v>
      </c>
      <c r="B11" s="33"/>
      <c r="C11" s="49" t="s">
        <v>3057</v>
      </c>
      <c r="D11" s="88"/>
    </row>
    <row r="12" spans="1:4" s="33" customFormat="1" ht="12.75">
      <c r="A12" s="31" t="s">
        <v>1338</v>
      </c>
      <c r="C12" s="33" t="s">
        <v>2874</v>
      </c>
      <c r="D12" s="88"/>
    </row>
    <row r="13" spans="1:4" ht="15">
      <c r="A13" s="2" t="s">
        <v>2212</v>
      </c>
      <c r="B13" s="39"/>
      <c r="C13" s="289" t="s">
        <v>2620</v>
      </c>
      <c r="D13" s="33"/>
    </row>
    <row r="14" spans="1:4" ht="15">
      <c r="A14" s="1341" t="s">
        <v>182</v>
      </c>
      <c r="B14" s="39"/>
      <c r="C14" s="289" t="s">
        <v>2587</v>
      </c>
      <c r="D14" s="20" t="s">
        <v>183</v>
      </c>
    </row>
    <row r="15" spans="1:4" ht="15">
      <c r="A15" s="31" t="s">
        <v>2097</v>
      </c>
      <c r="B15" s="33"/>
      <c r="C15" s="49" t="s">
        <v>505</v>
      </c>
      <c r="D15" s="33"/>
    </row>
    <row r="16" spans="1:4" ht="15">
      <c r="A16" s="31" t="s">
        <v>2834</v>
      </c>
      <c r="B16" s="33"/>
      <c r="C16" s="49" t="s">
        <v>2388</v>
      </c>
      <c r="D16" s="33"/>
    </row>
    <row r="17" spans="1:4" ht="15">
      <c r="A17" s="31" t="s">
        <v>184</v>
      </c>
      <c r="B17" s="33"/>
      <c r="C17" s="49" t="s">
        <v>185</v>
      </c>
      <c r="D17" s="33"/>
    </row>
    <row r="18" spans="1:4" ht="15">
      <c r="A18" s="48"/>
      <c r="B18" s="33"/>
      <c r="C18" s="49"/>
      <c r="D18" s="33"/>
    </row>
    <row r="19" spans="1:4" ht="15">
      <c r="A19" s="48" t="s">
        <v>2555</v>
      </c>
      <c r="B19" s="33"/>
      <c r="C19" s="49" t="s">
        <v>3111</v>
      </c>
      <c r="D19" s="33"/>
    </row>
    <row r="20" spans="1:4" ht="15">
      <c r="A20" s="48"/>
      <c r="B20" s="33"/>
      <c r="C20" s="49"/>
      <c r="D20" s="49"/>
    </row>
    <row r="21" spans="1:4" ht="15">
      <c r="A21" s="48" t="s">
        <v>2264</v>
      </c>
      <c r="B21" s="33"/>
      <c r="C21" s="49" t="s">
        <v>1629</v>
      </c>
      <c r="D21" s="49"/>
    </row>
    <row r="22" spans="1:4" ht="15">
      <c r="A22" s="821" t="s">
        <v>3101</v>
      </c>
      <c r="B22" s="471"/>
      <c r="C22" s="471" t="s">
        <v>881</v>
      </c>
      <c r="D22" s="49"/>
    </row>
    <row r="23" spans="1:4" ht="15">
      <c r="A23" s="48"/>
      <c r="B23" s="33"/>
      <c r="C23" s="49"/>
      <c r="D23" s="49"/>
    </row>
    <row r="24" spans="1:4" ht="15">
      <c r="A24" s="87" t="s">
        <v>516</v>
      </c>
      <c r="B24" s="7"/>
      <c r="C24" s="294" t="s">
        <v>1630</v>
      </c>
      <c r="D24" s="49"/>
    </row>
    <row r="25" spans="1:4" ht="15">
      <c r="A25" s="87" t="s">
        <v>1631</v>
      </c>
      <c r="B25" s="7"/>
      <c r="C25" s="294" t="s">
        <v>1580</v>
      </c>
      <c r="D25" s="49"/>
    </row>
    <row r="26" spans="1:4" ht="15">
      <c r="A26" s="48"/>
      <c r="B26" s="33"/>
      <c r="C26" s="49"/>
      <c r="D26" s="49"/>
    </row>
    <row r="27" spans="1:4" ht="15">
      <c r="A27" s="48" t="s">
        <v>1560</v>
      </c>
      <c r="B27" s="33"/>
      <c r="C27" s="49" t="s">
        <v>3110</v>
      </c>
      <c r="D27" s="49"/>
    </row>
    <row r="28" spans="1:4" ht="15">
      <c r="A28" s="48"/>
      <c r="B28" s="33"/>
      <c r="C28" s="49"/>
      <c r="D28" s="49"/>
    </row>
    <row r="29" spans="1:4" ht="15">
      <c r="A29" s="48" t="s">
        <v>1589</v>
      </c>
      <c r="B29" s="33"/>
      <c r="C29" s="49" t="s">
        <v>585</v>
      </c>
      <c r="D29" s="49"/>
    </row>
    <row r="30" spans="1:4" ht="15">
      <c r="A30" s="48" t="s">
        <v>2386</v>
      </c>
      <c r="B30" s="33"/>
      <c r="C30" s="49" t="s">
        <v>1397</v>
      </c>
      <c r="D30" s="49"/>
    </row>
    <row r="31" spans="1:4" ht="15">
      <c r="A31" s="48" t="s">
        <v>1590</v>
      </c>
      <c r="B31" s="33"/>
      <c r="C31" s="49" t="s">
        <v>585</v>
      </c>
      <c r="D31" s="49"/>
    </row>
    <row r="32" spans="1:4" ht="15">
      <c r="A32" s="48" t="s">
        <v>307</v>
      </c>
      <c r="B32" s="33"/>
      <c r="C32" s="49" t="s">
        <v>308</v>
      </c>
      <c r="D32" s="49"/>
    </row>
    <row r="33" spans="1:4" ht="15">
      <c r="A33" s="48"/>
      <c r="B33" s="33"/>
      <c r="C33" s="49"/>
      <c r="D33" s="49"/>
    </row>
    <row r="34" spans="1:3" s="471" customFormat="1" ht="12.75">
      <c r="A34" s="821" t="s">
        <v>1516</v>
      </c>
      <c r="C34" s="471" t="s">
        <v>1517</v>
      </c>
    </row>
    <row r="35" spans="1:3" s="471" customFormat="1" ht="12.75">
      <c r="A35" s="821" t="s">
        <v>1518</v>
      </c>
      <c r="C35" s="471" t="s">
        <v>1517</v>
      </c>
    </row>
    <row r="36" spans="1:3" s="471" customFormat="1" ht="12.75">
      <c r="A36" s="821" t="s">
        <v>1520</v>
      </c>
      <c r="C36" s="471" t="s">
        <v>1519</v>
      </c>
    </row>
    <row r="37" spans="1:4" ht="15">
      <c r="A37" s="337"/>
      <c r="C37" s="336"/>
      <c r="D37" s="336"/>
    </row>
    <row r="38" spans="1:4" ht="15">
      <c r="A38" s="337"/>
      <c r="C38" s="336"/>
      <c r="D38" s="336"/>
    </row>
    <row r="39" spans="1:4" ht="15">
      <c r="A39" s="337"/>
      <c r="C39" s="336"/>
      <c r="D39" s="336"/>
    </row>
    <row r="40" spans="1:4" ht="15">
      <c r="A40" s="337"/>
      <c r="C40" s="336"/>
      <c r="D40" s="336"/>
    </row>
    <row r="41" spans="1:4" ht="15">
      <c r="A41" s="337"/>
      <c r="C41" s="336"/>
      <c r="D41" s="336"/>
    </row>
    <row r="42" spans="1:4" ht="15">
      <c r="A42" s="337"/>
      <c r="C42" s="336"/>
      <c r="D42" s="336"/>
    </row>
    <row r="43" spans="1:4" ht="15">
      <c r="A43" s="337"/>
      <c r="C43" s="336"/>
      <c r="D43" s="336"/>
    </row>
    <row r="44" spans="1:4" ht="15">
      <c r="A44" s="337"/>
      <c r="B44" s="336"/>
      <c r="D44" s="336"/>
    </row>
    <row r="45" spans="1:4" ht="15">
      <c r="A45" s="337"/>
      <c r="B45" s="336"/>
      <c r="D45" s="336"/>
    </row>
    <row r="46" spans="1:4" ht="15">
      <c r="A46" s="337"/>
      <c r="B46" s="336"/>
      <c r="D46" s="336"/>
    </row>
    <row r="47" spans="1:4" ht="15">
      <c r="A47" s="337"/>
      <c r="B47" s="336"/>
      <c r="D47" s="336"/>
    </row>
    <row r="48" spans="1:4" ht="15">
      <c r="A48" s="337"/>
      <c r="B48" s="336"/>
      <c r="D48" s="336"/>
    </row>
    <row r="49" ht="15">
      <c r="D49" s="336"/>
    </row>
    <row r="50" ht="15">
      <c r="D50" s="336"/>
    </row>
    <row r="51" ht="15">
      <c r="D51" s="336"/>
    </row>
    <row r="52" ht="15">
      <c r="D52" s="336"/>
    </row>
    <row r="53" ht="15">
      <c r="D53" s="336"/>
    </row>
    <row r="54" ht="15">
      <c r="D54" s="336"/>
    </row>
    <row r="55" ht="15">
      <c r="D55" s="336"/>
    </row>
    <row r="56" ht="15">
      <c r="D56" s="336"/>
    </row>
    <row r="57" ht="15">
      <c r="D57" s="336"/>
    </row>
    <row r="58" ht="15">
      <c r="D58" s="336"/>
    </row>
    <row r="59" ht="15">
      <c r="D59" s="336"/>
    </row>
    <row r="60" ht="15">
      <c r="D60" s="336"/>
    </row>
    <row r="61" ht="15">
      <c r="D61" s="336"/>
    </row>
    <row r="62" ht="15">
      <c r="D62" s="336"/>
    </row>
    <row r="63" ht="15">
      <c r="D63" s="336"/>
    </row>
    <row r="64" ht="15">
      <c r="D64" s="336"/>
    </row>
    <row r="65" ht="15">
      <c r="D65" s="336"/>
    </row>
    <row r="66" ht="15">
      <c r="D66" s="336"/>
    </row>
    <row r="67" ht="15">
      <c r="D67" s="336"/>
    </row>
    <row r="68" ht="15">
      <c r="D68" s="336"/>
    </row>
    <row r="69" ht="15">
      <c r="D69" s="336"/>
    </row>
    <row r="70" ht="15">
      <c r="D70" s="336"/>
    </row>
    <row r="71" ht="15">
      <c r="D71" s="336"/>
    </row>
    <row r="72" ht="15">
      <c r="D72" s="336"/>
    </row>
    <row r="73" ht="15">
      <c r="D73" s="336"/>
    </row>
    <row r="74" ht="15">
      <c r="D74" s="336"/>
    </row>
    <row r="75" ht="15">
      <c r="D75" s="336"/>
    </row>
    <row r="76" ht="15">
      <c r="D76" s="336"/>
    </row>
    <row r="77" ht="15">
      <c r="D77" s="336"/>
    </row>
    <row r="78" ht="15">
      <c r="D78" s="336"/>
    </row>
    <row r="79" ht="15">
      <c r="D79" s="336"/>
    </row>
    <row r="80" ht="15">
      <c r="D80" s="336"/>
    </row>
    <row r="81" ht="15">
      <c r="D81" s="336"/>
    </row>
    <row r="82" ht="15">
      <c r="D82" s="336"/>
    </row>
    <row r="83" ht="15">
      <c r="D83" s="336"/>
    </row>
    <row r="84" ht="15">
      <c r="D84" s="336"/>
    </row>
    <row r="85" ht="15">
      <c r="D85" s="336"/>
    </row>
    <row r="86" ht="15">
      <c r="D86" s="336"/>
    </row>
    <row r="87" ht="15">
      <c r="D87" s="336"/>
    </row>
    <row r="88" ht="15">
      <c r="D88" s="336"/>
    </row>
    <row r="89" ht="15">
      <c r="D89" s="336"/>
    </row>
    <row r="90" ht="15">
      <c r="D90" s="336"/>
    </row>
    <row r="91" ht="15">
      <c r="D91" s="336"/>
    </row>
    <row r="92" ht="15">
      <c r="D92" s="336"/>
    </row>
    <row r="93" ht="15">
      <c r="D93" s="336"/>
    </row>
    <row r="94" ht="15">
      <c r="D94" s="336"/>
    </row>
    <row r="95" ht="15">
      <c r="D95" s="336"/>
    </row>
    <row r="96" ht="15">
      <c r="D96" s="336"/>
    </row>
    <row r="97" ht="15">
      <c r="D97" s="336"/>
    </row>
    <row r="98" ht="15">
      <c r="D98" s="336"/>
    </row>
    <row r="99" ht="15">
      <c r="D99" s="336"/>
    </row>
    <row r="100" ht="15">
      <c r="D100" s="336"/>
    </row>
    <row r="101" ht="15">
      <c r="D101" s="336"/>
    </row>
    <row r="102" ht="15">
      <c r="D102" s="336"/>
    </row>
    <row r="103" ht="15">
      <c r="D103" s="336"/>
    </row>
    <row r="104" ht="15">
      <c r="D104" s="336"/>
    </row>
    <row r="105" ht="15">
      <c r="D105" s="336"/>
    </row>
    <row r="106" ht="15">
      <c r="D106" s="336"/>
    </row>
    <row r="107" ht="15">
      <c r="D107" s="336"/>
    </row>
    <row r="108" ht="15">
      <c r="D108" s="336"/>
    </row>
    <row r="109" ht="15">
      <c r="D109" s="336"/>
    </row>
    <row r="110" ht="15">
      <c r="D110" s="336"/>
    </row>
    <row r="111" ht="15">
      <c r="D111" s="336"/>
    </row>
    <row r="112" ht="15">
      <c r="D112" s="336"/>
    </row>
    <row r="113" ht="15">
      <c r="D113" s="336"/>
    </row>
    <row r="114" ht="15">
      <c r="D114" s="336"/>
    </row>
    <row r="115" ht="15">
      <c r="D115" s="336"/>
    </row>
    <row r="116" ht="15">
      <c r="D116" s="336"/>
    </row>
    <row r="117" ht="15">
      <c r="D117" s="336"/>
    </row>
    <row r="118" ht="15">
      <c r="D118" s="336"/>
    </row>
    <row r="119" ht="15">
      <c r="D119" s="336"/>
    </row>
    <row r="120" ht="15">
      <c r="D120" s="336"/>
    </row>
    <row r="121" ht="15">
      <c r="D121" s="336"/>
    </row>
    <row r="122" ht="15">
      <c r="D122" s="336"/>
    </row>
    <row r="123" ht="15">
      <c r="D123" s="336"/>
    </row>
    <row r="124" ht="15">
      <c r="D124" s="336"/>
    </row>
    <row r="125" ht="15">
      <c r="D125" s="336"/>
    </row>
    <row r="126" ht="15">
      <c r="D126" s="336"/>
    </row>
    <row r="127" ht="15">
      <c r="D127" s="336"/>
    </row>
    <row r="128" ht="15">
      <c r="D128" s="336"/>
    </row>
    <row r="129" ht="15">
      <c r="D129" s="336"/>
    </row>
    <row r="130" ht="15">
      <c r="D130" s="336"/>
    </row>
    <row r="131" ht="15">
      <c r="D131" s="336"/>
    </row>
    <row r="132" ht="15">
      <c r="D132" s="336"/>
    </row>
    <row r="133" ht="15">
      <c r="D133" s="336"/>
    </row>
    <row r="134" ht="15">
      <c r="D134" s="336"/>
    </row>
    <row r="135" ht="15">
      <c r="D135" s="336"/>
    </row>
    <row r="136" ht="15">
      <c r="D136" s="336"/>
    </row>
    <row r="137" ht="15">
      <c r="D137" s="336"/>
    </row>
    <row r="138" ht="15">
      <c r="D138" s="336"/>
    </row>
    <row r="139" ht="15">
      <c r="D139" s="336"/>
    </row>
    <row r="140" ht="15">
      <c r="D140" s="336"/>
    </row>
    <row r="141" ht="15">
      <c r="D141" s="336"/>
    </row>
    <row r="142" ht="15">
      <c r="D142" s="336"/>
    </row>
    <row r="143" ht="15">
      <c r="D143" s="336"/>
    </row>
    <row r="144" ht="15">
      <c r="D144" s="336"/>
    </row>
    <row r="145" ht="15">
      <c r="D145" s="336"/>
    </row>
    <row r="146" ht="15">
      <c r="D146" s="336"/>
    </row>
    <row r="147" ht="15">
      <c r="D147" s="336"/>
    </row>
    <row r="148" ht="15">
      <c r="D148" s="336"/>
    </row>
    <row r="149" ht="15">
      <c r="D149" s="336"/>
    </row>
    <row r="150" ht="15">
      <c r="D150" s="336"/>
    </row>
    <row r="151" ht="15">
      <c r="D151" s="336"/>
    </row>
    <row r="152" ht="15">
      <c r="D152" s="336"/>
    </row>
    <row r="153" ht="15">
      <c r="D153" s="336"/>
    </row>
    <row r="154" ht="15">
      <c r="D154" s="336"/>
    </row>
    <row r="155" ht="15">
      <c r="D155" s="336"/>
    </row>
    <row r="156" ht="15">
      <c r="D156" s="336"/>
    </row>
    <row r="157" ht="15">
      <c r="D157" s="336"/>
    </row>
    <row r="158" ht="15">
      <c r="D158" s="336"/>
    </row>
    <row r="159" ht="15">
      <c r="D159" s="336"/>
    </row>
    <row r="160" ht="15">
      <c r="D160" s="336"/>
    </row>
    <row r="161" ht="15">
      <c r="D161" s="336"/>
    </row>
    <row r="162" ht="15">
      <c r="D162" s="336"/>
    </row>
    <row r="163" ht="15">
      <c r="D163" s="336"/>
    </row>
    <row r="164" ht="15">
      <c r="D164" s="336"/>
    </row>
    <row r="165" ht="15">
      <c r="D165" s="336"/>
    </row>
    <row r="166" ht="15">
      <c r="D166" s="336"/>
    </row>
    <row r="167" ht="15">
      <c r="D167" s="336"/>
    </row>
    <row r="168" ht="15">
      <c r="D168" s="336"/>
    </row>
    <row r="169" ht="15">
      <c r="D169" s="336"/>
    </row>
    <row r="170" ht="15">
      <c r="D170" s="336"/>
    </row>
    <row r="171" ht="15">
      <c r="D171" s="336"/>
    </row>
    <row r="172" ht="15">
      <c r="D172" s="336"/>
    </row>
    <row r="173" ht="15">
      <c r="D173" s="336"/>
    </row>
    <row r="174" ht="15">
      <c r="D174" s="336"/>
    </row>
    <row r="175" ht="15">
      <c r="D175" s="336"/>
    </row>
    <row r="176" ht="15">
      <c r="D176" s="336"/>
    </row>
    <row r="177" ht="15">
      <c r="D177" s="336"/>
    </row>
    <row r="178" ht="15">
      <c r="D178" s="336"/>
    </row>
    <row r="179" ht="15">
      <c r="D179" s="336"/>
    </row>
    <row r="180" ht="15">
      <c r="D180" s="336"/>
    </row>
    <row r="181" ht="15">
      <c r="D181" s="336"/>
    </row>
    <row r="182" ht="15">
      <c r="D182" s="336"/>
    </row>
    <row r="183" ht="15">
      <c r="D183" s="336"/>
    </row>
    <row r="184" ht="15">
      <c r="D184" s="336"/>
    </row>
    <row r="185" ht="15">
      <c r="D185" s="336"/>
    </row>
    <row r="186" ht="15">
      <c r="D186" s="336"/>
    </row>
    <row r="187" ht="15">
      <c r="D187" s="336"/>
    </row>
    <row r="188" ht="15">
      <c r="D188" s="336"/>
    </row>
    <row r="189" ht="15">
      <c r="D189" s="336"/>
    </row>
    <row r="190" ht="15">
      <c r="D190" s="336"/>
    </row>
    <row r="191" ht="15">
      <c r="D191" s="336"/>
    </row>
    <row r="192" ht="15">
      <c r="D192" s="336"/>
    </row>
    <row r="193" ht="15">
      <c r="D193" s="336"/>
    </row>
    <row r="194" ht="15">
      <c r="D194" s="336"/>
    </row>
    <row r="195" ht="15">
      <c r="D195" s="336"/>
    </row>
    <row r="196" ht="15">
      <c r="D196" s="336"/>
    </row>
    <row r="197" ht="15">
      <c r="D197" s="336"/>
    </row>
    <row r="198" ht="15">
      <c r="D198" s="336"/>
    </row>
    <row r="199" ht="15">
      <c r="D199" s="336"/>
    </row>
    <row r="200" ht="15">
      <c r="D200" s="336"/>
    </row>
    <row r="201" ht="15">
      <c r="D201" s="336"/>
    </row>
    <row r="202" ht="15">
      <c r="D202" s="336"/>
    </row>
    <row r="203" ht="15">
      <c r="D203" s="336"/>
    </row>
    <row r="204" ht="15">
      <c r="D204" s="336"/>
    </row>
    <row r="205" ht="15">
      <c r="D205" s="336"/>
    </row>
    <row r="206" ht="15">
      <c r="D206" s="336"/>
    </row>
    <row r="207" ht="15">
      <c r="D207" s="336"/>
    </row>
    <row r="208" ht="15">
      <c r="D208" s="336"/>
    </row>
    <row r="209" ht="15">
      <c r="D209" s="336"/>
    </row>
    <row r="210" ht="15">
      <c r="D210" s="336"/>
    </row>
    <row r="211" ht="15">
      <c r="D211" s="336"/>
    </row>
    <row r="212" ht="15">
      <c r="D212" s="336"/>
    </row>
    <row r="213" ht="15">
      <c r="D213" s="336"/>
    </row>
    <row r="214" ht="15">
      <c r="D214" s="336"/>
    </row>
    <row r="215" ht="15">
      <c r="D215" s="336"/>
    </row>
    <row r="216" ht="15">
      <c r="D216" s="336"/>
    </row>
    <row r="217" ht="15">
      <c r="D217" s="336"/>
    </row>
    <row r="218" ht="15">
      <c r="D218" s="336"/>
    </row>
    <row r="219" ht="15">
      <c r="D219" s="336"/>
    </row>
    <row r="220" ht="15">
      <c r="D220" s="336"/>
    </row>
    <row r="221" ht="15">
      <c r="D221" s="336"/>
    </row>
    <row r="222" ht="15">
      <c r="D222" s="336"/>
    </row>
    <row r="223" ht="15">
      <c r="D223" s="336"/>
    </row>
    <row r="224" ht="15">
      <c r="D224" s="336"/>
    </row>
    <row r="225" ht="15">
      <c r="D225" s="336"/>
    </row>
    <row r="226" ht="15">
      <c r="D226" s="336"/>
    </row>
    <row r="227" ht="15">
      <c r="D227" s="336"/>
    </row>
    <row r="228" ht="15">
      <c r="D228" s="336"/>
    </row>
    <row r="229" ht="15">
      <c r="D229" s="336"/>
    </row>
    <row r="230" ht="15">
      <c r="D230" s="336"/>
    </row>
    <row r="231" ht="15">
      <c r="D231" s="336"/>
    </row>
    <row r="232" ht="15">
      <c r="D232" s="336"/>
    </row>
    <row r="233" ht="15">
      <c r="D233" s="336"/>
    </row>
    <row r="234" ht="15">
      <c r="D234" s="336"/>
    </row>
    <row r="235" ht="15">
      <c r="D235" s="336"/>
    </row>
    <row r="236" ht="15">
      <c r="D236" s="336"/>
    </row>
    <row r="237" ht="15">
      <c r="D237" s="336"/>
    </row>
    <row r="238" ht="15">
      <c r="D238" s="336"/>
    </row>
    <row r="239" ht="15">
      <c r="D239" s="336"/>
    </row>
    <row r="240" ht="15">
      <c r="D240" s="336"/>
    </row>
    <row r="241" ht="15">
      <c r="D241" s="336"/>
    </row>
    <row r="242" ht="15">
      <c r="D242" s="336"/>
    </row>
    <row r="243" ht="15">
      <c r="D243" s="336"/>
    </row>
    <row r="244" ht="15">
      <c r="D244" s="336"/>
    </row>
    <row r="245" ht="15">
      <c r="D245" s="336"/>
    </row>
    <row r="246" ht="15">
      <c r="D246" s="336"/>
    </row>
    <row r="247" ht="15">
      <c r="D247" s="336"/>
    </row>
    <row r="248" ht="15">
      <c r="D248" s="336"/>
    </row>
    <row r="249" ht="15">
      <c r="D249" s="336"/>
    </row>
    <row r="250" ht="15">
      <c r="D250" s="336"/>
    </row>
    <row r="251" ht="15">
      <c r="D251" s="336"/>
    </row>
    <row r="252" ht="15">
      <c r="D252" s="336"/>
    </row>
    <row r="253" ht="15">
      <c r="D253" s="336"/>
    </row>
    <row r="254" ht="15">
      <c r="D254" s="336"/>
    </row>
    <row r="255" ht="15">
      <c r="D255" s="336"/>
    </row>
    <row r="256" ht="15">
      <c r="D256" s="336"/>
    </row>
    <row r="257" ht="15">
      <c r="D257" s="336"/>
    </row>
    <row r="258" ht="15">
      <c r="D258" s="336"/>
    </row>
    <row r="259" ht="15">
      <c r="D259" s="336"/>
    </row>
    <row r="260" ht="15">
      <c r="D260" s="336"/>
    </row>
    <row r="261" ht="15">
      <c r="D261" s="336"/>
    </row>
    <row r="262" ht="15">
      <c r="D262" s="336"/>
    </row>
    <row r="263" ht="15">
      <c r="D263" s="336"/>
    </row>
    <row r="264" ht="15">
      <c r="D264" s="336"/>
    </row>
    <row r="265" ht="15">
      <c r="D265" s="336"/>
    </row>
    <row r="266" ht="15">
      <c r="D266" s="336"/>
    </row>
    <row r="267" ht="15">
      <c r="D267" s="336"/>
    </row>
    <row r="268" ht="15">
      <c r="D268" s="336"/>
    </row>
    <row r="269" ht="15">
      <c r="D269" s="336"/>
    </row>
    <row r="270" ht="15">
      <c r="D270" s="336"/>
    </row>
    <row r="271" ht="15">
      <c r="D271" s="336"/>
    </row>
    <row r="272" ht="15">
      <c r="D272" s="336"/>
    </row>
    <row r="273" ht="15">
      <c r="D273" s="336"/>
    </row>
    <row r="274" ht="15">
      <c r="D274" s="336"/>
    </row>
    <row r="275" ht="15">
      <c r="D275" s="336"/>
    </row>
    <row r="276" ht="15">
      <c r="D276" s="336"/>
    </row>
    <row r="277" ht="15">
      <c r="D277" s="336"/>
    </row>
    <row r="278" ht="15">
      <c r="D278" s="336"/>
    </row>
    <row r="279" ht="15">
      <c r="D279" s="336"/>
    </row>
    <row r="280" ht="15">
      <c r="D280" s="336"/>
    </row>
    <row r="281" ht="15">
      <c r="D281" s="336"/>
    </row>
    <row r="282" ht="15">
      <c r="D282" s="336"/>
    </row>
    <row r="283" ht="15">
      <c r="D283" s="336"/>
    </row>
    <row r="284" ht="15">
      <c r="D284" s="336"/>
    </row>
    <row r="285" ht="15">
      <c r="D285" s="336"/>
    </row>
    <row r="286" ht="15">
      <c r="D286" s="336"/>
    </row>
    <row r="287" ht="15">
      <c r="D287" s="336"/>
    </row>
    <row r="288" ht="15">
      <c r="D288" s="336"/>
    </row>
    <row r="289" ht="15">
      <c r="D289" s="336"/>
    </row>
    <row r="290" ht="15">
      <c r="D290" s="336"/>
    </row>
    <row r="291" ht="15">
      <c r="D291" s="336"/>
    </row>
    <row r="292" ht="15">
      <c r="D292" s="336"/>
    </row>
    <row r="293" ht="15">
      <c r="D293" s="336"/>
    </row>
    <row r="294" ht="15">
      <c r="D294" s="336"/>
    </row>
    <row r="295" ht="15">
      <c r="D295" s="336"/>
    </row>
    <row r="296" ht="15">
      <c r="D296" s="336"/>
    </row>
    <row r="297" ht="15">
      <c r="D297" s="336"/>
    </row>
    <row r="298" ht="15">
      <c r="D298" s="336"/>
    </row>
    <row r="299" ht="15">
      <c r="D299" s="336"/>
    </row>
    <row r="300" ht="15">
      <c r="D300" s="336"/>
    </row>
    <row r="301" ht="15">
      <c r="D301" s="336"/>
    </row>
    <row r="302" ht="15">
      <c r="D302" s="336"/>
    </row>
    <row r="303" ht="15">
      <c r="D303" s="336"/>
    </row>
    <row r="304" ht="15">
      <c r="D304" s="336"/>
    </row>
    <row r="305" ht="15">
      <c r="D305" s="336"/>
    </row>
    <row r="306" ht="15">
      <c r="D306" s="336"/>
    </row>
    <row r="307" ht="15">
      <c r="D307" s="336"/>
    </row>
    <row r="308" ht="15">
      <c r="D308" s="336"/>
    </row>
    <row r="309" ht="15">
      <c r="D309" s="336"/>
    </row>
    <row r="310" ht="15">
      <c r="D310" s="336"/>
    </row>
    <row r="311" ht="15">
      <c r="D311" s="336"/>
    </row>
    <row r="312" ht="15">
      <c r="D312" s="336"/>
    </row>
    <row r="313" ht="15">
      <c r="D313" s="336"/>
    </row>
    <row r="314" ht="15">
      <c r="D314" s="336"/>
    </row>
    <row r="315" ht="15">
      <c r="D315" s="336"/>
    </row>
    <row r="316" ht="15">
      <c r="D316" s="336"/>
    </row>
    <row r="317" ht="15">
      <c r="D317" s="336"/>
    </row>
    <row r="318" ht="15">
      <c r="D318" s="336"/>
    </row>
    <row r="319" ht="15">
      <c r="D319" s="336"/>
    </row>
    <row r="320" ht="15">
      <c r="D320" s="336"/>
    </row>
    <row r="321" ht="15">
      <c r="D321" s="336"/>
    </row>
    <row r="322" ht="15">
      <c r="D322" s="336"/>
    </row>
    <row r="323" ht="15">
      <c r="D323" s="336"/>
    </row>
    <row r="324" ht="15">
      <c r="D324" s="336"/>
    </row>
    <row r="325" ht="15">
      <c r="D325" s="336"/>
    </row>
    <row r="326" ht="15">
      <c r="D326" s="336"/>
    </row>
    <row r="327" ht="15">
      <c r="D327" s="336"/>
    </row>
    <row r="328" ht="15">
      <c r="D328" s="336"/>
    </row>
    <row r="329" ht="15">
      <c r="D329" s="336"/>
    </row>
    <row r="330" ht="15">
      <c r="D330" s="336"/>
    </row>
    <row r="331" ht="15">
      <c r="D331" s="336"/>
    </row>
    <row r="332" ht="15">
      <c r="D332" s="336"/>
    </row>
    <row r="333" ht="15">
      <c r="D333" s="336"/>
    </row>
    <row r="334" ht="15">
      <c r="D334" s="336"/>
    </row>
    <row r="335" ht="15">
      <c r="D335" s="336"/>
    </row>
    <row r="336" ht="15">
      <c r="D336" s="336"/>
    </row>
    <row r="337" ht="15">
      <c r="D337" s="336"/>
    </row>
    <row r="338" ht="15">
      <c r="D338" s="336"/>
    </row>
    <row r="339" ht="15">
      <c r="D339" s="336"/>
    </row>
    <row r="340" ht="15">
      <c r="D340" s="336"/>
    </row>
    <row r="341" ht="15">
      <c r="D341" s="336"/>
    </row>
    <row r="342" ht="15">
      <c r="D342" s="336"/>
    </row>
    <row r="343" ht="15">
      <c r="D343" s="336"/>
    </row>
    <row r="344" ht="15">
      <c r="D344" s="336"/>
    </row>
    <row r="345" ht="15">
      <c r="D345" s="336"/>
    </row>
    <row r="346" ht="15">
      <c r="D346" s="336"/>
    </row>
    <row r="347" ht="15">
      <c r="D347" s="336"/>
    </row>
    <row r="348" ht="15">
      <c r="D348" s="336"/>
    </row>
    <row r="349" ht="15">
      <c r="D349" s="336"/>
    </row>
    <row r="350" ht="15">
      <c r="D350" s="336"/>
    </row>
    <row r="351" ht="15">
      <c r="D351" s="336"/>
    </row>
    <row r="352" ht="15">
      <c r="D352" s="336"/>
    </row>
    <row r="353" ht="15">
      <c r="D353" s="336"/>
    </row>
    <row r="354" ht="15">
      <c r="D354" s="336"/>
    </row>
    <row r="355" ht="15">
      <c r="D355" s="336"/>
    </row>
    <row r="356" ht="15">
      <c r="D356" s="336"/>
    </row>
    <row r="357" ht="15">
      <c r="D357" s="336"/>
    </row>
    <row r="358" ht="15">
      <c r="D358" s="336"/>
    </row>
    <row r="359" ht="15">
      <c r="D359" s="336"/>
    </row>
    <row r="360" ht="15">
      <c r="D360" s="336"/>
    </row>
    <row r="361" ht="15">
      <c r="D361" s="336"/>
    </row>
    <row r="362" ht="15">
      <c r="D362" s="336"/>
    </row>
    <row r="363" ht="15">
      <c r="D363" s="336"/>
    </row>
    <row r="364" ht="15">
      <c r="D364" s="336"/>
    </row>
    <row r="365" ht="15">
      <c r="D365" s="336"/>
    </row>
    <row r="366" ht="15">
      <c r="D366" s="336"/>
    </row>
    <row r="367" ht="15">
      <c r="D367" s="336"/>
    </row>
    <row r="368" ht="15">
      <c r="D368" s="336"/>
    </row>
    <row r="369" ht="15">
      <c r="D369" s="336"/>
    </row>
    <row r="370" ht="15">
      <c r="D370" s="336"/>
    </row>
    <row r="371" ht="15">
      <c r="D371" s="336"/>
    </row>
    <row r="372" ht="15">
      <c r="D372" s="336"/>
    </row>
    <row r="373" ht="15">
      <c r="D373" s="336"/>
    </row>
    <row r="374" ht="15">
      <c r="D374" s="336"/>
    </row>
    <row r="375" ht="15">
      <c r="D375" s="336"/>
    </row>
    <row r="376" ht="15">
      <c r="D376" s="336"/>
    </row>
    <row r="377" ht="15">
      <c r="D377" s="336"/>
    </row>
  </sheetData>
  <sheetProtection/>
  <mergeCells count="1">
    <mergeCell ref="A1:C2"/>
  </mergeCells>
  <hyperlinks>
    <hyperlink ref="A21" r:id="rId1" display="www.fahrrad.co.at"/>
  </hyperlinks>
  <printOptions/>
  <pageMargins left="0.787401575" right="0.787401575" top="0.984251969" bottom="0.984251969" header="0.4921259845" footer="0.4921259845"/>
  <pageSetup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154"/>
  <sheetViews>
    <sheetView tabSelected="1" zoomScale="85" zoomScaleNormal="85" zoomScalePageLayoutView="0" workbookViewId="0" topLeftCell="B1">
      <pane ySplit="2" topLeftCell="A2300" activePane="bottomLeft" state="frozen"/>
      <selection pane="topLeft" activeCell="C1" sqref="C1"/>
      <selection pane="bottomLeft" activeCell="R2327" sqref="R2327"/>
    </sheetView>
  </sheetViews>
  <sheetFormatPr defaultColWidth="9.140625" defaultRowHeight="12.75"/>
  <cols>
    <col min="1" max="1" width="0" style="0" hidden="1" customWidth="1"/>
    <col min="2" max="2" width="8.421875" style="195" bestFit="1" customWidth="1"/>
    <col min="3" max="3" width="6.7109375" style="195" customWidth="1"/>
    <col min="4" max="4" width="8.421875" style="195" bestFit="1" customWidth="1"/>
    <col min="5" max="5" width="14.7109375" style="732" hidden="1" customWidth="1"/>
    <col min="6" max="6" width="9.7109375" style="198" customWidth="1"/>
    <col min="7" max="7" width="9.57421875" style="195" bestFit="1" customWidth="1"/>
    <col min="8" max="8" width="6.57421875" style="195" customWidth="1"/>
    <col min="9" max="9" width="55.57421875" style="1" customWidth="1"/>
    <col min="10" max="10" width="6.57421875" style="4" customWidth="1"/>
    <col min="11" max="11" width="8.00390625" style="5" customWidth="1"/>
    <col min="12" max="13" width="9.140625" style="0" customWidth="1"/>
    <col min="14" max="14" width="10.57421875" style="0" customWidth="1"/>
    <col min="15" max="15" width="9.28125" style="24" customWidth="1"/>
    <col min="16" max="16" width="20.7109375" style="0" customWidth="1"/>
    <col min="17" max="17" width="11.28125" style="0" bestFit="1" customWidth="1"/>
    <col min="18" max="18" width="12.00390625" style="0" bestFit="1" customWidth="1"/>
  </cols>
  <sheetData>
    <row r="1" spans="2:13" ht="27">
      <c r="B1" s="1600" t="s">
        <v>129</v>
      </c>
      <c r="C1" s="1601"/>
      <c r="D1" s="1601"/>
      <c r="E1" s="1601"/>
      <c r="F1" s="1601"/>
      <c r="G1" s="1601"/>
      <c r="H1" s="995"/>
      <c r="I1" s="1393" t="s">
        <v>3191</v>
      </c>
      <c r="J1" s="1602" t="s">
        <v>578</v>
      </c>
      <c r="K1" s="1601"/>
      <c r="L1" s="1601"/>
      <c r="M1" s="1601"/>
    </row>
    <row r="2" spans="1:15" s="171" customFormat="1" ht="16.5" thickBot="1">
      <c r="A2" s="197" t="s">
        <v>1989</v>
      </c>
      <c r="B2" s="194" t="s">
        <v>1908</v>
      </c>
      <c r="C2" s="194" t="s">
        <v>1907</v>
      </c>
      <c r="D2" s="194" t="s">
        <v>1906</v>
      </c>
      <c r="E2" s="730" t="s">
        <v>1839</v>
      </c>
      <c r="F2" s="197" t="s">
        <v>1301</v>
      </c>
      <c r="G2" s="194" t="s">
        <v>1905</v>
      </c>
      <c r="H2" s="1211" t="s">
        <v>191</v>
      </c>
      <c r="I2" s="1032"/>
      <c r="J2" s="167" t="s">
        <v>1083</v>
      </c>
      <c r="K2" s="168" t="s">
        <v>2746</v>
      </c>
      <c r="L2" s="169" t="s">
        <v>3039</v>
      </c>
      <c r="M2" s="169" t="s">
        <v>132</v>
      </c>
      <c r="N2" s="170"/>
      <c r="O2" s="166" t="s">
        <v>2309</v>
      </c>
    </row>
    <row r="3" spans="1:15" s="3" customFormat="1" ht="15.75">
      <c r="A3" s="928">
        <v>10</v>
      </c>
      <c r="B3" s="1119" t="s">
        <v>3184</v>
      </c>
      <c r="C3" s="1120">
        <v>3.9</v>
      </c>
      <c r="D3" s="1120">
        <v>9.3</v>
      </c>
      <c r="E3" s="1121">
        <v>4.18</v>
      </c>
      <c r="F3" s="1122" t="s">
        <v>131</v>
      </c>
      <c r="G3" s="235"/>
      <c r="H3" s="235"/>
      <c r="I3" s="230"/>
      <c r="J3" s="231"/>
      <c r="K3" s="232"/>
      <c r="L3" s="233"/>
      <c r="M3" s="233"/>
      <c r="N3" s="234"/>
      <c r="O3" s="230"/>
    </row>
    <row r="4" spans="2:15" s="3" customFormat="1" ht="12.75">
      <c r="B4" s="1123" t="e">
        <f>B3*4.18</f>
        <v>#VALUE!</v>
      </c>
      <c r="C4" s="1123">
        <f>C3*4.18</f>
        <v>16.302</v>
      </c>
      <c r="D4" s="1123">
        <f>D3*4.18</f>
        <v>38.874</v>
      </c>
      <c r="E4" s="1124"/>
      <c r="F4" s="1125" t="s">
        <v>130</v>
      </c>
      <c r="G4" s="235"/>
      <c r="H4" s="235"/>
      <c r="I4" s="2"/>
      <c r="J4" s="302"/>
      <c r="K4" s="100"/>
      <c r="L4" s="303"/>
      <c r="M4" s="303"/>
      <c r="N4" s="304"/>
      <c r="O4" s="305"/>
    </row>
    <row r="5" spans="2:15" s="3" customFormat="1" ht="12.75">
      <c r="B5" s="235"/>
      <c r="C5" s="235"/>
      <c r="D5" s="235"/>
      <c r="E5" s="731"/>
      <c r="F5" s="236"/>
      <c r="G5" s="235"/>
      <c r="H5" s="235"/>
      <c r="I5" s="2"/>
      <c r="J5" s="302"/>
      <c r="K5" s="100"/>
      <c r="L5" s="303"/>
      <c r="M5" s="303"/>
      <c r="N5" s="304"/>
      <c r="O5" s="832"/>
    </row>
    <row r="6" spans="2:15" s="3" customFormat="1" ht="12.75">
      <c r="B6" s="235"/>
      <c r="C6" s="235"/>
      <c r="D6" s="235"/>
      <c r="E6" s="731"/>
      <c r="F6" s="236"/>
      <c r="G6" s="235"/>
      <c r="H6" s="235"/>
      <c r="I6" s="2"/>
      <c r="J6" s="302"/>
      <c r="K6" s="100"/>
      <c r="L6" s="303"/>
      <c r="M6" s="303"/>
      <c r="N6" s="304"/>
      <c r="O6" s="88"/>
    </row>
    <row r="7" spans="2:15" s="3" customFormat="1" ht="12.75">
      <c r="B7" s="235"/>
      <c r="C7" s="235"/>
      <c r="D7" s="235"/>
      <c r="E7" s="731"/>
      <c r="G7" s="235"/>
      <c r="H7" s="235"/>
      <c r="I7" s="2"/>
      <c r="J7" s="302"/>
      <c r="K7" s="100"/>
      <c r="L7" s="303"/>
      <c r="M7" s="303"/>
      <c r="N7" s="304"/>
      <c r="O7" s="88"/>
    </row>
    <row r="8" spans="2:15" s="3" customFormat="1" ht="15.75">
      <c r="B8" s="235"/>
      <c r="C8" s="235"/>
      <c r="D8" s="235"/>
      <c r="E8" s="731"/>
      <c r="F8" s="236"/>
      <c r="G8" s="235"/>
      <c r="H8" s="235"/>
      <c r="I8" s="178" t="s">
        <v>1708</v>
      </c>
      <c r="J8" s="231"/>
      <c r="K8" s="232"/>
      <c r="L8" s="233"/>
      <c r="M8" s="233"/>
      <c r="N8" s="234"/>
      <c r="O8" s="24"/>
    </row>
    <row r="9" spans="2:15" s="5" customFormat="1" ht="12.75">
      <c r="B9" s="358"/>
      <c r="C9" s="1607" t="s">
        <v>2362</v>
      </c>
      <c r="D9" s="1608"/>
      <c r="E9" s="1608"/>
      <c r="F9" s="1608"/>
      <c r="G9" s="358"/>
      <c r="H9" s="358"/>
      <c r="I9" s="6" t="s">
        <v>2469</v>
      </c>
      <c r="J9" s="333"/>
      <c r="K9" s="334">
        <v>16.9</v>
      </c>
      <c r="L9" s="335">
        <v>100</v>
      </c>
      <c r="M9" s="333">
        <f>K9/L9*1000</f>
        <v>168.99999999999997</v>
      </c>
      <c r="N9" s="7"/>
      <c r="O9" s="24" t="s">
        <v>92</v>
      </c>
    </row>
    <row r="10" spans="2:15" s="5" customFormat="1" ht="12.75">
      <c r="B10" s="359"/>
      <c r="C10" s="1607" t="s">
        <v>2125</v>
      </c>
      <c r="D10" s="1608"/>
      <c r="E10" s="1608"/>
      <c r="F10" s="1608"/>
      <c r="G10" s="359"/>
      <c r="H10" s="359"/>
      <c r="I10" s="6" t="s">
        <v>1752</v>
      </c>
      <c r="J10" s="334"/>
      <c r="K10" s="334">
        <v>4.39</v>
      </c>
      <c r="L10" s="335">
        <v>25</v>
      </c>
      <c r="M10" s="333">
        <f>K10/L10*1000</f>
        <v>175.59999999999997</v>
      </c>
      <c r="N10" s="7"/>
      <c r="O10" s="24" t="s">
        <v>12</v>
      </c>
    </row>
    <row r="11" spans="2:15" s="5" customFormat="1" ht="12.75">
      <c r="B11" s="195"/>
      <c r="C11" s="195"/>
      <c r="D11" s="195"/>
      <c r="E11" s="732"/>
      <c r="F11" s="198"/>
      <c r="G11" s="195"/>
      <c r="H11" s="195"/>
      <c r="I11" s="6" t="s">
        <v>432</v>
      </c>
      <c r="J11" s="334">
        <v>4.39</v>
      </c>
      <c r="K11" s="334">
        <f>J11*0.97</f>
        <v>4.258299999999999</v>
      </c>
      <c r="L11" s="335">
        <v>25</v>
      </c>
      <c r="M11" s="333">
        <f>K11/L11*1000</f>
        <v>170.332</v>
      </c>
      <c r="N11" s="7"/>
      <c r="O11" s="24" t="s">
        <v>1959</v>
      </c>
    </row>
    <row r="12" spans="2:15" s="5" customFormat="1" ht="12.75">
      <c r="B12" s="195"/>
      <c r="C12" s="195"/>
      <c r="D12" s="195"/>
      <c r="E12" s="732"/>
      <c r="F12" s="198"/>
      <c r="G12" s="195"/>
      <c r="H12" s="195"/>
      <c r="I12" s="21" t="s">
        <v>163</v>
      </c>
      <c r="J12" s="120"/>
      <c r="K12" s="120"/>
      <c r="L12" s="23"/>
      <c r="M12" s="22"/>
      <c r="N12" s="23"/>
      <c r="O12" s="24" t="s">
        <v>12</v>
      </c>
    </row>
    <row r="13" spans="2:15" s="5" customFormat="1" ht="12.75">
      <c r="B13" s="195"/>
      <c r="C13" s="195"/>
      <c r="D13" s="195"/>
      <c r="E13" s="732"/>
      <c r="F13" s="198"/>
      <c r="G13" s="195"/>
      <c r="H13" s="195"/>
      <c r="I13" s="21" t="s">
        <v>1813</v>
      </c>
      <c r="J13" s="120"/>
      <c r="K13" s="120">
        <v>4.39</v>
      </c>
      <c r="L13" s="23">
        <v>25</v>
      </c>
      <c r="M13" s="22">
        <f>K13/L13*1000</f>
        <v>175.59999999999997</v>
      </c>
      <c r="N13" s="23"/>
      <c r="O13" s="101" t="s">
        <v>149</v>
      </c>
    </row>
    <row r="14" spans="2:15" s="3" customFormat="1" ht="15.75">
      <c r="B14" s="235"/>
      <c r="C14" s="235"/>
      <c r="D14" s="235"/>
      <c r="E14" s="731"/>
      <c r="F14" s="236"/>
      <c r="G14" s="235"/>
      <c r="H14" s="235"/>
      <c r="I14" s="178"/>
      <c r="J14" s="231"/>
      <c r="K14" s="232"/>
      <c r="L14" s="233"/>
      <c r="M14" s="233"/>
      <c r="N14" s="234"/>
      <c r="O14" s="24"/>
    </row>
    <row r="15" spans="2:15" s="3" customFormat="1" ht="15.75">
      <c r="B15" s="235"/>
      <c r="C15" s="235"/>
      <c r="D15" s="235"/>
      <c r="E15" s="731"/>
      <c r="F15" s="236"/>
      <c r="G15" s="235"/>
      <c r="H15" s="235"/>
      <c r="I15" s="178" t="s">
        <v>2536</v>
      </c>
      <c r="J15" s="231"/>
      <c r="K15" s="232"/>
      <c r="L15" s="233"/>
      <c r="M15" s="233"/>
      <c r="N15" s="234"/>
      <c r="O15" s="24"/>
    </row>
    <row r="16" spans="2:15" s="5" customFormat="1" ht="12.75">
      <c r="B16" s="195"/>
      <c r="C16" s="195"/>
      <c r="D16" s="195"/>
      <c r="E16" s="732"/>
      <c r="F16" s="198"/>
      <c r="G16" s="195"/>
      <c r="H16" s="195"/>
      <c r="I16" s="15" t="s">
        <v>1332</v>
      </c>
      <c r="J16" s="61">
        <v>4.49</v>
      </c>
      <c r="K16" s="61">
        <f>J16*0.97</f>
        <v>4.3553</v>
      </c>
      <c r="L16">
        <v>50</v>
      </c>
      <c r="M16" s="5">
        <f>K16/L16*1000</f>
        <v>87.106</v>
      </c>
      <c r="N16" s="372"/>
      <c r="O16" s="24" t="s">
        <v>1295</v>
      </c>
    </row>
    <row r="17" spans="2:15" s="5" customFormat="1" ht="12.75">
      <c r="B17" s="195"/>
      <c r="C17" s="195"/>
      <c r="D17" s="195"/>
      <c r="E17" s="732"/>
      <c r="F17" s="198"/>
      <c r="G17" s="195"/>
      <c r="H17" s="195"/>
      <c r="I17" s="15" t="s">
        <v>2539</v>
      </c>
      <c r="J17" s="61">
        <v>4.49</v>
      </c>
      <c r="K17" s="61">
        <f>J17*0.97</f>
        <v>4.3553</v>
      </c>
      <c r="L17">
        <v>50</v>
      </c>
      <c r="M17" s="5">
        <f>K17/L17*1000</f>
        <v>87.106</v>
      </c>
      <c r="N17" s="372"/>
      <c r="O17" s="24" t="s">
        <v>12</v>
      </c>
    </row>
    <row r="18" spans="2:15" s="5" customFormat="1" ht="12.75">
      <c r="B18" s="195"/>
      <c r="C18" s="195"/>
      <c r="D18" s="195"/>
      <c r="E18" s="732"/>
      <c r="F18" s="198"/>
      <c r="G18" s="195"/>
      <c r="H18" s="195"/>
      <c r="I18" s="71" t="s">
        <v>2539</v>
      </c>
      <c r="J18" s="96">
        <v>4.79</v>
      </c>
      <c r="K18" s="96">
        <f>J18*0.97</f>
        <v>4.6463</v>
      </c>
      <c r="L18" s="30">
        <v>50</v>
      </c>
      <c r="M18" s="29">
        <f>K18/L18*1000</f>
        <v>92.926</v>
      </c>
      <c r="N18" s="7"/>
      <c r="O18" s="24" t="s">
        <v>1959</v>
      </c>
    </row>
    <row r="19" spans="2:15" s="3" customFormat="1" ht="18">
      <c r="B19" s="235"/>
      <c r="C19" s="235"/>
      <c r="D19" s="235"/>
      <c r="E19" s="731"/>
      <c r="F19" s="308" t="s">
        <v>552</v>
      </c>
      <c r="G19" s="235"/>
      <c r="H19" s="235"/>
      <c r="I19" s="109" t="s">
        <v>162</v>
      </c>
      <c r="J19" s="120"/>
      <c r="K19" s="120"/>
      <c r="L19" s="23"/>
      <c r="M19" s="22"/>
      <c r="N19" s="23"/>
      <c r="O19" s="24" t="s">
        <v>12</v>
      </c>
    </row>
    <row r="20" spans="2:15" s="5" customFormat="1" ht="12.75">
      <c r="B20" s="195"/>
      <c r="C20" s="195"/>
      <c r="D20" s="195"/>
      <c r="E20" s="733"/>
      <c r="F20" s="198"/>
      <c r="G20" s="195"/>
      <c r="H20" s="195"/>
      <c r="I20" s="15"/>
      <c r="J20" s="61"/>
      <c r="K20" s="61"/>
      <c r="L20"/>
      <c r="N20" s="7"/>
      <c r="O20" s="24"/>
    </row>
    <row r="21" spans="2:15" s="3" customFormat="1" ht="15.75">
      <c r="B21" s="235"/>
      <c r="C21" s="235"/>
      <c r="D21" s="235"/>
      <c r="E21" s="733" t="e">
        <f>(B21*B$3+C21*C$3+D21*D$3)*E$3</f>
        <v>#VALUE!</v>
      </c>
      <c r="F21" s="236"/>
      <c r="G21" s="235"/>
      <c r="H21" s="235"/>
      <c r="I21" s="91" t="s">
        <v>336</v>
      </c>
      <c r="J21" s="231"/>
      <c r="K21" s="232"/>
      <c r="L21" s="233"/>
      <c r="M21" s="233"/>
      <c r="N21" s="234"/>
      <c r="O21" s="24"/>
    </row>
    <row r="22" spans="2:15" s="5" customFormat="1" ht="12.75">
      <c r="B22" s="195"/>
      <c r="C22" s="195"/>
      <c r="D22" s="195"/>
      <c r="E22" s="733"/>
      <c r="F22" s="198"/>
      <c r="G22" s="195"/>
      <c r="H22" s="195"/>
      <c r="I22" s="415" t="s">
        <v>983</v>
      </c>
      <c r="J22" s="61"/>
      <c r="K22" s="61">
        <v>17.51</v>
      </c>
      <c r="L22" s="42">
        <v>50</v>
      </c>
      <c r="M22" s="1398">
        <f>K22/L22*1000</f>
        <v>350.2</v>
      </c>
      <c r="N22" s="42"/>
      <c r="O22" s="1397" t="s">
        <v>805</v>
      </c>
    </row>
    <row r="23" spans="2:15" s="5" customFormat="1" ht="12.75">
      <c r="B23" s="195"/>
      <c r="C23" s="195"/>
      <c r="D23" s="195"/>
      <c r="E23" s="733"/>
      <c r="F23" s="198"/>
      <c r="G23" s="195"/>
      <c r="H23" s="195"/>
      <c r="I23" s="1468" t="s">
        <v>983</v>
      </c>
      <c r="J23" s="1502"/>
      <c r="K23" s="1502">
        <v>14.16</v>
      </c>
      <c r="L23" s="1471">
        <v>50</v>
      </c>
      <c r="M23" s="1537">
        <f>K23/L23*1000</f>
        <v>283.2</v>
      </c>
      <c r="N23" s="42"/>
      <c r="O23" s="1397" t="s">
        <v>2988</v>
      </c>
    </row>
    <row r="24" spans="2:15" s="3" customFormat="1" ht="15">
      <c r="B24" s="235"/>
      <c r="C24" s="235"/>
      <c r="D24" s="235"/>
      <c r="E24" s="733"/>
      <c r="F24" s="236"/>
      <c r="G24" s="235"/>
      <c r="H24" s="235"/>
      <c r="I24" s="86" t="s">
        <v>2528</v>
      </c>
      <c r="J24" s="1612" t="s">
        <v>2527</v>
      </c>
      <c r="K24" s="1613"/>
      <c r="L24" s="1613"/>
      <c r="M24" s="1613"/>
      <c r="N24" s="1613"/>
      <c r="O24" s="24"/>
    </row>
    <row r="25" spans="2:15" s="5" customFormat="1" ht="12.75">
      <c r="B25" s="195"/>
      <c r="C25" s="195"/>
      <c r="D25" s="195"/>
      <c r="E25" s="733"/>
      <c r="F25" s="198"/>
      <c r="G25" s="195"/>
      <c r="H25" s="195"/>
      <c r="I25" s="415" t="s">
        <v>2529</v>
      </c>
      <c r="J25" s="61">
        <v>12.3</v>
      </c>
      <c r="K25" s="61">
        <f>J25*0.97</f>
        <v>11.931000000000001</v>
      </c>
      <c r="L25" s="42">
        <v>40</v>
      </c>
      <c r="M25" s="1130">
        <f aca="true" t="shared" si="0" ref="M25:M31">K25/L25*1000</f>
        <v>298.27500000000003</v>
      </c>
      <c r="N25" s="42"/>
      <c r="O25" s="125" t="s">
        <v>458</v>
      </c>
    </row>
    <row r="26" spans="2:15" s="5" customFormat="1" ht="12.75">
      <c r="B26" s="195"/>
      <c r="C26" s="195"/>
      <c r="D26" s="195"/>
      <c r="E26" s="733"/>
      <c r="F26" s="198"/>
      <c r="G26" s="195"/>
      <c r="H26" s="195"/>
      <c r="I26" s="174" t="s">
        <v>1681</v>
      </c>
      <c r="J26" s="164">
        <v>11.45</v>
      </c>
      <c r="K26" s="164">
        <f>J26*0.97</f>
        <v>11.106499999999999</v>
      </c>
      <c r="L26" s="69">
        <v>40</v>
      </c>
      <c r="M26" s="68">
        <f t="shared" si="0"/>
        <v>277.66249999999997</v>
      </c>
      <c r="N26" s="42"/>
      <c r="O26" s="125" t="s">
        <v>1910</v>
      </c>
    </row>
    <row r="27" spans="2:15" s="3" customFormat="1" ht="12.75">
      <c r="B27" s="235"/>
      <c r="C27" s="235"/>
      <c r="D27" s="235"/>
      <c r="E27" s="734"/>
      <c r="F27" s="236"/>
      <c r="G27" s="235"/>
      <c r="H27" s="235"/>
      <c r="I27" s="147" t="s">
        <v>2132</v>
      </c>
      <c r="J27" s="162"/>
      <c r="K27" s="162">
        <v>17.8</v>
      </c>
      <c r="L27" s="149">
        <v>50</v>
      </c>
      <c r="M27" s="148">
        <f t="shared" si="0"/>
        <v>356.00000000000006</v>
      </c>
      <c r="N27" s="7"/>
      <c r="O27" s="24" t="s">
        <v>12</v>
      </c>
    </row>
    <row r="28" spans="2:15" s="5" customFormat="1" ht="12.75">
      <c r="B28" s="195"/>
      <c r="C28" s="195"/>
      <c r="D28" s="195"/>
      <c r="E28" s="733"/>
      <c r="F28" s="198"/>
      <c r="G28" s="195"/>
      <c r="H28" s="195"/>
      <c r="I28" s="86" t="s">
        <v>1811</v>
      </c>
      <c r="J28" s="61"/>
      <c r="K28" s="61">
        <v>8.49</v>
      </c>
      <c r="L28">
        <v>25</v>
      </c>
      <c r="M28" s="400">
        <f>K28/L28*1000</f>
        <v>339.6</v>
      </c>
      <c r="N28" s="575"/>
      <c r="O28" s="775" t="s">
        <v>637</v>
      </c>
    </row>
    <row r="29" spans="2:15" s="5" customFormat="1" ht="12.75">
      <c r="B29" s="195"/>
      <c r="C29" s="195"/>
      <c r="D29" s="195"/>
      <c r="E29" s="733"/>
      <c r="F29" s="198"/>
      <c r="G29" s="195"/>
      <c r="H29" s="195"/>
      <c r="I29" s="147" t="s">
        <v>1384</v>
      </c>
      <c r="J29" s="162">
        <v>13.9</v>
      </c>
      <c r="K29" s="162">
        <f>J29*0.99</f>
        <v>13.761000000000001</v>
      </c>
      <c r="L29" s="149">
        <v>50</v>
      </c>
      <c r="M29" s="148">
        <f t="shared" si="0"/>
        <v>275.22</v>
      </c>
      <c r="N29" s="575"/>
      <c r="O29" s="775" t="s">
        <v>2120</v>
      </c>
    </row>
    <row r="30" spans="2:15" s="5" customFormat="1" ht="12.75">
      <c r="B30" s="195"/>
      <c r="C30" s="195"/>
      <c r="D30" s="195"/>
      <c r="E30" s="733"/>
      <c r="F30" s="198"/>
      <c r="G30" s="195"/>
      <c r="H30" s="195"/>
      <c r="I30" s="15" t="s">
        <v>1991</v>
      </c>
      <c r="J30" s="61"/>
      <c r="K30" s="61">
        <v>14.49</v>
      </c>
      <c r="L30">
        <v>50</v>
      </c>
      <c r="M30" s="5">
        <f t="shared" si="0"/>
        <v>289.8</v>
      </c>
      <c r="N30" s="575"/>
      <c r="O30" s="24" t="s">
        <v>2670</v>
      </c>
    </row>
    <row r="31" spans="2:15" s="5" customFormat="1" ht="12.75">
      <c r="B31" s="195"/>
      <c r="C31" s="195"/>
      <c r="D31" s="195"/>
      <c r="E31" s="733"/>
      <c r="F31" s="198"/>
      <c r="G31" s="195"/>
      <c r="H31" s="195"/>
      <c r="I31" s="86" t="s">
        <v>740</v>
      </c>
      <c r="J31" s="61"/>
      <c r="K31" s="61">
        <v>8</v>
      </c>
      <c r="L31">
        <v>10</v>
      </c>
      <c r="M31" s="490">
        <f t="shared" si="0"/>
        <v>800</v>
      </c>
      <c r="N31" s="7"/>
      <c r="O31" s="775" t="s">
        <v>337</v>
      </c>
    </row>
    <row r="32" spans="2:16" s="5" customFormat="1" ht="15.75">
      <c r="B32" s="195"/>
      <c r="C32" s="195"/>
      <c r="D32" s="195"/>
      <c r="E32" s="733" t="e">
        <f>(B32*B$3+C32*C$3+D32*D$3)*E$3</f>
        <v>#VALUE!</v>
      </c>
      <c r="F32" s="198"/>
      <c r="G32" s="195"/>
      <c r="H32" s="195"/>
      <c r="I32" s="147"/>
      <c r="J32" s="96"/>
      <c r="K32" s="96"/>
      <c r="L32" s="30"/>
      <c r="M32" s="29"/>
      <c r="N32" s="7"/>
      <c r="O32" s="24"/>
      <c r="P32" s="89"/>
    </row>
    <row r="33" spans="2:15" s="5" customFormat="1" ht="12.75">
      <c r="B33" s="195"/>
      <c r="C33" s="195"/>
      <c r="D33" s="195"/>
      <c r="E33" s="733"/>
      <c r="F33" s="198"/>
      <c r="G33" s="195"/>
      <c r="H33" s="195"/>
      <c r="I33" s="15" t="s">
        <v>1355</v>
      </c>
      <c r="J33" s="61"/>
      <c r="K33" s="61"/>
      <c r="L33"/>
      <c r="N33" s="7"/>
      <c r="O33" s="24" t="s">
        <v>1959</v>
      </c>
    </row>
    <row r="34" spans="2:16" s="5" customFormat="1" ht="15.75">
      <c r="B34" s="195"/>
      <c r="C34" s="195"/>
      <c r="D34" s="195"/>
      <c r="E34" s="732"/>
      <c r="F34" s="198"/>
      <c r="G34" s="195"/>
      <c r="H34" s="195"/>
      <c r="I34" s="15" t="s">
        <v>2843</v>
      </c>
      <c r="J34" s="61">
        <v>6.6</v>
      </c>
      <c r="K34" s="61">
        <f>J34*0.97</f>
        <v>6.401999999999999</v>
      </c>
      <c r="L34">
        <v>100</v>
      </c>
      <c r="M34" s="5">
        <f>K34/L34*1000</f>
        <v>64.02</v>
      </c>
      <c r="N34" s="7"/>
      <c r="O34" s="24" t="s">
        <v>1320</v>
      </c>
      <c r="P34" s="89" t="s">
        <v>222</v>
      </c>
    </row>
    <row r="35" spans="2:16" s="5" customFormat="1" ht="15.75">
      <c r="B35" s="195"/>
      <c r="C35" s="195"/>
      <c r="D35" s="195"/>
      <c r="E35" s="732"/>
      <c r="F35" s="198"/>
      <c r="G35" s="195"/>
      <c r="H35" s="195"/>
      <c r="I35" s="15" t="s">
        <v>1515</v>
      </c>
      <c r="J35" s="61"/>
      <c r="K35" s="61">
        <v>6.6</v>
      </c>
      <c r="L35">
        <v>100</v>
      </c>
      <c r="M35" s="5">
        <f>K35/L35*1000</f>
        <v>66</v>
      </c>
      <c r="N35" s="7"/>
      <c r="O35" s="24" t="s">
        <v>692</v>
      </c>
      <c r="P35" s="89" t="s">
        <v>222</v>
      </c>
    </row>
    <row r="36" spans="2:15" s="5" customFormat="1" ht="12.75">
      <c r="B36" s="195"/>
      <c r="C36" s="195"/>
      <c r="D36" s="195"/>
      <c r="E36" s="732"/>
      <c r="F36" s="198"/>
      <c r="G36" s="195"/>
      <c r="H36" s="195"/>
      <c r="I36" s="15" t="s">
        <v>3030</v>
      </c>
      <c r="J36" s="61"/>
      <c r="K36" s="61"/>
      <c r="L36"/>
      <c r="N36" s="7"/>
      <c r="O36" s="24" t="s">
        <v>1959</v>
      </c>
    </row>
    <row r="37" spans="2:15" s="5" customFormat="1" ht="12.75">
      <c r="B37" s="195"/>
      <c r="C37" s="195"/>
      <c r="D37" s="195"/>
      <c r="E37" s="732"/>
      <c r="F37" s="198"/>
      <c r="G37" s="195"/>
      <c r="H37" s="195"/>
      <c r="I37" s="2" t="s">
        <v>2844</v>
      </c>
      <c r="J37" s="61"/>
      <c r="K37" s="96">
        <v>17.8</v>
      </c>
      <c r="L37" s="30">
        <v>100</v>
      </c>
      <c r="M37" s="29">
        <f>K37/L37*1000</f>
        <v>178.00000000000003</v>
      </c>
      <c r="N37" s="7"/>
      <c r="O37" s="24" t="s">
        <v>149</v>
      </c>
    </row>
    <row r="38" spans="2:15" s="5" customFormat="1" ht="12.75">
      <c r="B38" s="195"/>
      <c r="C38" s="195"/>
      <c r="D38" s="195"/>
      <c r="E38" s="732"/>
      <c r="F38" s="198"/>
      <c r="G38" s="195"/>
      <c r="H38" s="195"/>
      <c r="I38" s="2" t="s">
        <v>601</v>
      </c>
      <c r="J38" s="61"/>
      <c r="K38" s="61">
        <v>16</v>
      </c>
      <c r="L38">
        <v>100</v>
      </c>
      <c r="M38" s="5">
        <f>K38/L38*1000</f>
        <v>160</v>
      </c>
      <c r="N38" s="7"/>
      <c r="O38" s="24" t="s">
        <v>12</v>
      </c>
    </row>
    <row r="39" spans="2:15" s="5" customFormat="1" ht="12.75">
      <c r="B39" s="195"/>
      <c r="C39" s="195"/>
      <c r="D39" s="195"/>
      <c r="E39" s="732"/>
      <c r="F39" s="198"/>
      <c r="G39" s="195"/>
      <c r="H39" s="195"/>
      <c r="I39" s="2"/>
      <c r="J39" s="61"/>
      <c r="K39" s="61"/>
      <c r="L39"/>
      <c r="N39" s="7"/>
      <c r="O39" s="24"/>
    </row>
    <row r="40" spans="2:15" s="5" customFormat="1" ht="15.75">
      <c r="B40" s="195"/>
      <c r="C40" s="195"/>
      <c r="D40" s="195"/>
      <c r="E40" s="732"/>
      <c r="F40" s="198"/>
      <c r="G40" s="195"/>
      <c r="H40" s="195"/>
      <c r="I40" s="248" t="s">
        <v>1114</v>
      </c>
      <c r="J40" s="61"/>
      <c r="K40" s="61"/>
      <c r="L40"/>
      <c r="M40" s="102" t="s">
        <v>2343</v>
      </c>
      <c r="N40" s="7"/>
      <c r="O40" s="24"/>
    </row>
    <row r="41" spans="1:15" s="5" customFormat="1" ht="12.75">
      <c r="A41" s="927" t="e">
        <f>B41*B$4+C41*C$4+D41*D$4</f>
        <v>#VALUE!</v>
      </c>
      <c r="B41" s="195">
        <v>14.5</v>
      </c>
      <c r="C41" s="195">
        <v>48.4</v>
      </c>
      <c r="D41" s="195">
        <v>2.5</v>
      </c>
      <c r="E41" s="732"/>
      <c r="F41" s="198">
        <v>1343</v>
      </c>
      <c r="G41" s="195">
        <f>B41/F41*1000</f>
        <v>10.796723752792257</v>
      </c>
      <c r="H41" s="195"/>
      <c r="I41" s="1438" t="s">
        <v>3031</v>
      </c>
      <c r="J41" s="61"/>
      <c r="K41" s="1435">
        <v>22.99</v>
      </c>
      <c r="L41" s="1436">
        <v>250</v>
      </c>
      <c r="M41" s="1437">
        <f>K41/L41</f>
        <v>0.09196</v>
      </c>
      <c r="N41" s="42"/>
      <c r="O41" s="125" t="s">
        <v>2514</v>
      </c>
    </row>
    <row r="42" spans="1:15" s="5" customFormat="1" ht="12.75">
      <c r="A42" s="927" t="e">
        <f>B42*B$4+C42*C$4+D42*D$4</f>
        <v>#VALUE!</v>
      </c>
      <c r="B42" s="195">
        <v>15.5</v>
      </c>
      <c r="C42" s="195">
        <v>45.8</v>
      </c>
      <c r="D42" s="195">
        <v>3.1</v>
      </c>
      <c r="E42" s="732"/>
      <c r="F42" s="198">
        <v>1143</v>
      </c>
      <c r="G42" s="195">
        <f>B42/F42*1000</f>
        <v>13.560804899387575</v>
      </c>
      <c r="H42" s="195"/>
      <c r="I42" s="97" t="s">
        <v>1217</v>
      </c>
      <c r="J42" s="61"/>
      <c r="K42" s="61">
        <v>86.32</v>
      </c>
      <c r="L42" s="42">
        <v>1000</v>
      </c>
      <c r="M42" s="41">
        <f>K42/L42</f>
        <v>0.08632</v>
      </c>
      <c r="N42" s="42"/>
      <c r="O42" s="125" t="s">
        <v>1985</v>
      </c>
    </row>
    <row r="43" spans="1:15" s="5" customFormat="1" ht="12.75">
      <c r="A43" s="927" t="e">
        <f>B43*B$4+C43*C$4+D43*D$4</f>
        <v>#VALUE!</v>
      </c>
      <c r="B43" s="195">
        <v>13.3</v>
      </c>
      <c r="C43" s="195">
        <v>62.1</v>
      </c>
      <c r="D43" s="195">
        <v>2.8</v>
      </c>
      <c r="E43" s="732"/>
      <c r="F43" s="198">
        <v>1384</v>
      </c>
      <c r="G43" s="195">
        <f>B43/F43*1000</f>
        <v>9.609826589595377</v>
      </c>
      <c r="H43" s="195"/>
      <c r="I43" s="15" t="s">
        <v>984</v>
      </c>
      <c r="J43" s="55"/>
      <c r="K43" s="55">
        <v>23.9</v>
      </c>
      <c r="L43" s="7">
        <v>1000</v>
      </c>
      <c r="M43" s="16">
        <f>K43/L43</f>
        <v>0.023899999999999998</v>
      </c>
      <c r="N43" s="42"/>
      <c r="O43" s="125" t="s">
        <v>175</v>
      </c>
    </row>
    <row r="44" spans="1:15" s="5" customFormat="1" ht="12.75">
      <c r="A44" s="927" t="e">
        <f aca="true" t="shared" si="1" ref="A44:A49">B44*B$4+C44*C$4+D44*D$4</f>
        <v>#VALUE!</v>
      </c>
      <c r="B44" s="195">
        <v>13.3</v>
      </c>
      <c r="C44" s="195">
        <v>62.1</v>
      </c>
      <c r="D44" s="195">
        <v>2.8</v>
      </c>
      <c r="E44" s="732"/>
      <c r="F44" s="198">
        <v>1384</v>
      </c>
      <c r="G44" s="195">
        <f aca="true" t="shared" si="2" ref="G44:G49">B44/F44*1000</f>
        <v>9.609826589595377</v>
      </c>
      <c r="H44" s="195"/>
      <c r="I44" s="109" t="s">
        <v>985</v>
      </c>
      <c r="J44" s="61"/>
      <c r="K44" s="38">
        <v>39.43</v>
      </c>
      <c r="L44" s="26">
        <v>500</v>
      </c>
      <c r="M44" s="25">
        <f>K44/L44</f>
        <v>0.07886</v>
      </c>
      <c r="N44" s="1415"/>
      <c r="O44" s="125" t="s">
        <v>175</v>
      </c>
    </row>
    <row r="45" spans="1:15" s="5" customFormat="1" ht="12.75">
      <c r="A45" s="927" t="e">
        <f t="shared" si="1"/>
        <v>#VALUE!</v>
      </c>
      <c r="B45" s="195">
        <v>13.3</v>
      </c>
      <c r="C45" s="195">
        <v>62.1</v>
      </c>
      <c r="D45" s="195">
        <v>2.8</v>
      </c>
      <c r="E45" s="732"/>
      <c r="F45" s="198">
        <v>1384</v>
      </c>
      <c r="G45" s="195">
        <f t="shared" si="2"/>
        <v>9.609826589595377</v>
      </c>
      <c r="H45" s="195"/>
      <c r="I45" s="71" t="s">
        <v>2835</v>
      </c>
      <c r="J45" s="96"/>
      <c r="K45" s="96">
        <v>46.49</v>
      </c>
      <c r="L45" s="30">
        <v>500</v>
      </c>
      <c r="M45" s="29">
        <f>K45/L45</f>
        <v>0.09298000000000001</v>
      </c>
      <c r="N45" s="20" t="s">
        <v>3107</v>
      </c>
      <c r="O45" s="716" t="s">
        <v>1489</v>
      </c>
    </row>
    <row r="46" spans="1:15" s="5" customFormat="1" ht="12.75">
      <c r="A46" s="927" t="e">
        <f t="shared" si="1"/>
        <v>#VALUE!</v>
      </c>
      <c r="B46" s="195">
        <v>13.3</v>
      </c>
      <c r="C46" s="195">
        <v>62.1</v>
      </c>
      <c r="D46" s="195">
        <v>2.8</v>
      </c>
      <c r="E46" s="732"/>
      <c r="F46" s="198">
        <v>1384</v>
      </c>
      <c r="G46" s="195">
        <f t="shared" si="2"/>
        <v>9.609826589595377</v>
      </c>
      <c r="H46" s="195"/>
      <c r="I46" s="37" t="s">
        <v>2835</v>
      </c>
      <c r="J46" s="61"/>
      <c r="K46" s="61">
        <v>12</v>
      </c>
      <c r="L46" s="42">
        <v>100</v>
      </c>
      <c r="M46" s="41">
        <f aca="true" t="shared" si="3" ref="M46:M51">K46/L46</f>
        <v>0.12</v>
      </c>
      <c r="N46" s="20"/>
      <c r="O46" s="716" t="s">
        <v>1489</v>
      </c>
    </row>
    <row r="47" spans="1:15" s="5" customFormat="1" ht="12.75">
      <c r="A47" s="927" t="e">
        <f t="shared" si="1"/>
        <v>#VALUE!</v>
      </c>
      <c r="B47" s="195">
        <v>13.3</v>
      </c>
      <c r="C47" s="195">
        <v>62.1</v>
      </c>
      <c r="D47" s="195">
        <v>2.8</v>
      </c>
      <c r="E47" s="732"/>
      <c r="F47" s="198">
        <v>1384</v>
      </c>
      <c r="G47" s="195">
        <f t="shared" si="2"/>
        <v>9.609826589595377</v>
      </c>
      <c r="H47" s="195"/>
      <c r="I47" s="37" t="s">
        <v>1057</v>
      </c>
      <c r="J47" s="61"/>
      <c r="K47" s="61">
        <v>28.99</v>
      </c>
      <c r="L47" s="42">
        <v>250</v>
      </c>
      <c r="M47" s="41">
        <f t="shared" si="3"/>
        <v>0.11596</v>
      </c>
      <c r="N47" s="492"/>
      <c r="O47" s="448" t="s">
        <v>1607</v>
      </c>
    </row>
    <row r="48" spans="1:15" s="5" customFormat="1" ht="12.75">
      <c r="A48" s="927" t="e">
        <f t="shared" si="1"/>
        <v>#VALUE!</v>
      </c>
      <c r="B48" s="195">
        <v>13.3</v>
      </c>
      <c r="C48" s="195">
        <v>62.1</v>
      </c>
      <c r="D48" s="195">
        <v>2.8</v>
      </c>
      <c r="E48" s="732"/>
      <c r="F48" s="198">
        <v>1384</v>
      </c>
      <c r="G48" s="195">
        <f t="shared" si="2"/>
        <v>9.609826589595377</v>
      </c>
      <c r="H48" s="195"/>
      <c r="I48" s="109" t="s">
        <v>1057</v>
      </c>
      <c r="J48" s="120">
        <v>24.99</v>
      </c>
      <c r="K48" s="120">
        <f>J48*0.99</f>
        <v>24.740099999999998</v>
      </c>
      <c r="L48" s="23">
        <v>250</v>
      </c>
      <c r="M48" s="22">
        <f t="shared" si="3"/>
        <v>0.09896039999999999</v>
      </c>
      <c r="N48" s="492"/>
      <c r="O48" s="448" t="s">
        <v>2986</v>
      </c>
    </row>
    <row r="49" spans="1:15" s="5" customFormat="1" ht="12.75">
      <c r="A49" s="927" t="e">
        <f t="shared" si="1"/>
        <v>#VALUE!</v>
      </c>
      <c r="B49" s="195">
        <v>13.3</v>
      </c>
      <c r="C49" s="195">
        <v>62.1</v>
      </c>
      <c r="D49" s="195">
        <v>2.8</v>
      </c>
      <c r="E49" s="732"/>
      <c r="F49" s="198">
        <v>1384</v>
      </c>
      <c r="G49" s="195">
        <f t="shared" si="2"/>
        <v>9.609826589595377</v>
      </c>
      <c r="H49" s="195"/>
      <c r="I49" s="37" t="s">
        <v>2835</v>
      </c>
      <c r="J49" s="61"/>
      <c r="K49" s="61">
        <v>12.99</v>
      </c>
      <c r="L49">
        <v>100</v>
      </c>
      <c r="M49" s="5">
        <f t="shared" si="3"/>
        <v>0.12990000000000002</v>
      </c>
      <c r="N49" s="122"/>
      <c r="O49" s="448" t="s">
        <v>354</v>
      </c>
    </row>
    <row r="50" spans="2:15" s="5" customFormat="1" ht="12.75">
      <c r="B50" s="195"/>
      <c r="C50" s="195"/>
      <c r="D50" s="195"/>
      <c r="E50" s="732"/>
      <c r="F50" s="198"/>
      <c r="G50" s="195"/>
      <c r="H50" s="195"/>
      <c r="I50" s="6" t="s">
        <v>2534</v>
      </c>
      <c r="J50" s="55">
        <v>3.29</v>
      </c>
      <c r="K50" s="55">
        <f>J50*0.97</f>
        <v>3.1913</v>
      </c>
      <c r="L50" s="7">
        <v>30</v>
      </c>
      <c r="M50" s="16">
        <f t="shared" si="3"/>
        <v>0.10637666666666666</v>
      </c>
      <c r="N50" s="7"/>
      <c r="O50" s="51" t="s">
        <v>354</v>
      </c>
    </row>
    <row r="51" spans="2:15" s="5" customFormat="1" ht="12.75">
      <c r="B51" s="195"/>
      <c r="C51" s="195"/>
      <c r="D51" s="195"/>
      <c r="E51" s="732"/>
      <c r="F51" s="198"/>
      <c r="G51" s="195"/>
      <c r="H51" s="195"/>
      <c r="I51" s="6" t="s">
        <v>898</v>
      </c>
      <c r="J51" s="55"/>
      <c r="K51" s="55">
        <v>10</v>
      </c>
      <c r="L51" s="7">
        <v>100</v>
      </c>
      <c r="M51" s="16">
        <f t="shared" si="3"/>
        <v>0.1</v>
      </c>
      <c r="N51" s="7"/>
      <c r="O51" s="51" t="s">
        <v>337</v>
      </c>
    </row>
    <row r="52" spans="2:15" s="5" customFormat="1" ht="12.75">
      <c r="B52" s="195"/>
      <c r="C52" s="195"/>
      <c r="D52" s="195"/>
      <c r="E52" s="732"/>
      <c r="F52" s="198"/>
      <c r="G52" s="195"/>
      <c r="H52" s="195"/>
      <c r="I52" s="2"/>
      <c r="J52" s="61"/>
      <c r="K52" s="61"/>
      <c r="L52"/>
      <c r="N52" s="7"/>
      <c r="O52" s="51"/>
    </row>
    <row r="53" spans="2:15" s="5" customFormat="1" ht="12.75">
      <c r="B53" s="195"/>
      <c r="C53" s="195"/>
      <c r="D53" s="195"/>
      <c r="E53" s="732"/>
      <c r="F53" s="198"/>
      <c r="G53" s="195"/>
      <c r="H53" s="195"/>
      <c r="I53" s="2"/>
      <c r="J53" s="61"/>
      <c r="K53" s="61"/>
      <c r="L53"/>
      <c r="N53" s="122"/>
      <c r="O53" s="24"/>
    </row>
    <row r="54" spans="2:15" s="5" customFormat="1" ht="15.75">
      <c r="B54" s="195"/>
      <c r="C54" s="195"/>
      <c r="D54" s="195"/>
      <c r="E54" s="732"/>
      <c r="F54" s="198"/>
      <c r="G54" s="195"/>
      <c r="H54" s="195"/>
      <c r="I54" s="178" t="s">
        <v>220</v>
      </c>
      <c r="J54" s="61"/>
      <c r="K54" s="61"/>
      <c r="L54"/>
      <c r="N54" s="122"/>
      <c r="O54" s="24"/>
    </row>
    <row r="55" spans="2:15" s="5" customFormat="1" ht="12.75">
      <c r="B55" s="195"/>
      <c r="C55" s="195"/>
      <c r="D55" s="195"/>
      <c r="E55" s="732"/>
      <c r="F55" s="198"/>
      <c r="G55" s="195"/>
      <c r="H55" s="195"/>
      <c r="I55" s="112" t="s">
        <v>509</v>
      </c>
      <c r="J55" s="968"/>
      <c r="K55" s="968">
        <v>1.59</v>
      </c>
      <c r="L55" s="114">
        <v>100</v>
      </c>
      <c r="M55" s="113">
        <f>K55/L55*1000</f>
        <v>15.9</v>
      </c>
      <c r="N55" s="122"/>
      <c r="O55" s="24" t="s">
        <v>583</v>
      </c>
    </row>
    <row r="56" spans="2:15" s="5" customFormat="1" ht="12.75">
      <c r="B56" s="195"/>
      <c r="C56" s="195"/>
      <c r="D56" s="195"/>
      <c r="E56" s="732"/>
      <c r="F56" s="198"/>
      <c r="G56" s="195"/>
      <c r="H56" s="195"/>
      <c r="I56" s="112" t="s">
        <v>509</v>
      </c>
      <c r="J56" s="968"/>
      <c r="K56" s="968">
        <v>1.49</v>
      </c>
      <c r="L56" s="114">
        <v>80</v>
      </c>
      <c r="M56" s="113">
        <f aca="true" t="shared" si="4" ref="M56:M61">K56/L56*1000</f>
        <v>18.625</v>
      </c>
      <c r="N56" s="122"/>
      <c r="O56" s="24" t="s">
        <v>2434</v>
      </c>
    </row>
    <row r="57" spans="2:15" s="5" customFormat="1" ht="12.75">
      <c r="B57" s="195"/>
      <c r="C57" s="195"/>
      <c r="D57" s="195"/>
      <c r="E57" s="732"/>
      <c r="F57" s="198"/>
      <c r="G57" s="195"/>
      <c r="H57" s="195"/>
      <c r="I57" s="6" t="s">
        <v>1086</v>
      </c>
      <c r="J57" s="61"/>
      <c r="K57" s="55">
        <v>1.99</v>
      </c>
      <c r="L57" s="7">
        <v>80</v>
      </c>
      <c r="M57" s="16">
        <f t="shared" si="4"/>
        <v>24.875</v>
      </c>
      <c r="N57" s="122"/>
      <c r="O57" s="716" t="s">
        <v>2434</v>
      </c>
    </row>
    <row r="58" spans="2:15" s="5" customFormat="1" ht="12.75">
      <c r="B58" s="195"/>
      <c r="C58" s="195"/>
      <c r="D58" s="195"/>
      <c r="E58" s="732"/>
      <c r="F58" s="198"/>
      <c r="G58" s="195"/>
      <c r="H58" s="195"/>
      <c r="I58" s="123" t="s">
        <v>1086</v>
      </c>
      <c r="J58" s="162"/>
      <c r="K58" s="162">
        <v>1.99</v>
      </c>
      <c r="L58" s="149">
        <v>80</v>
      </c>
      <c r="M58" s="148">
        <f t="shared" si="4"/>
        <v>24.875</v>
      </c>
      <c r="N58" s="122"/>
      <c r="O58" s="24" t="s">
        <v>1669</v>
      </c>
    </row>
    <row r="59" spans="2:15" s="5" customFormat="1" ht="12.75">
      <c r="B59" s="195"/>
      <c r="C59" s="195"/>
      <c r="D59" s="195"/>
      <c r="E59" s="732"/>
      <c r="F59" s="198"/>
      <c r="G59" s="195"/>
      <c r="H59" s="195"/>
      <c r="I59" s="67" t="s">
        <v>591</v>
      </c>
      <c r="J59" s="164"/>
      <c r="K59" s="164">
        <v>1.49</v>
      </c>
      <c r="L59" s="69">
        <v>100</v>
      </c>
      <c r="M59" s="68">
        <f t="shared" si="4"/>
        <v>14.9</v>
      </c>
      <c r="N59" s="122"/>
      <c r="O59" s="24" t="s">
        <v>289</v>
      </c>
    </row>
    <row r="60" spans="2:15" s="5" customFormat="1" ht="12.75">
      <c r="B60" s="195"/>
      <c r="C60" s="195"/>
      <c r="D60" s="195"/>
      <c r="E60" s="732"/>
      <c r="F60" s="198"/>
      <c r="G60" s="195"/>
      <c r="H60" s="195"/>
      <c r="I60" s="31" t="s">
        <v>2470</v>
      </c>
      <c r="J60" s="61"/>
      <c r="K60" s="61">
        <v>1.99</v>
      </c>
      <c r="L60">
        <v>40</v>
      </c>
      <c r="M60" s="5">
        <f t="shared" si="4"/>
        <v>49.75</v>
      </c>
      <c r="N60" s="122"/>
      <c r="O60" s="24" t="s">
        <v>1595</v>
      </c>
    </row>
    <row r="61" spans="2:15" s="5" customFormat="1" ht="12.75">
      <c r="B61" s="195"/>
      <c r="C61" s="195"/>
      <c r="D61" s="195"/>
      <c r="E61" s="732"/>
      <c r="F61" s="198"/>
      <c r="G61" s="195"/>
      <c r="H61" s="195"/>
      <c r="I61" s="67" t="s">
        <v>2748</v>
      </c>
      <c r="J61" s="164"/>
      <c r="K61" s="164">
        <v>1.5</v>
      </c>
      <c r="L61" s="69">
        <v>100</v>
      </c>
      <c r="M61" s="68">
        <f t="shared" si="4"/>
        <v>15</v>
      </c>
      <c r="N61" s="122"/>
      <c r="O61" s="24" t="s">
        <v>2646</v>
      </c>
    </row>
    <row r="62" spans="2:15" s="5" customFormat="1" ht="12.75">
      <c r="B62" s="195"/>
      <c r="C62" s="195"/>
      <c r="D62" s="195"/>
      <c r="E62" s="732"/>
      <c r="F62" s="198"/>
      <c r="G62" s="195"/>
      <c r="H62" s="195"/>
      <c r="I62" s="86" t="s">
        <v>1087</v>
      </c>
      <c r="J62" s="164"/>
      <c r="K62" s="164"/>
      <c r="L62" s="69"/>
      <c r="M62" s="68"/>
      <c r="N62" s="122"/>
      <c r="O62" s="716" t="s">
        <v>2170</v>
      </c>
    </row>
    <row r="63" spans="2:15" s="5" customFormat="1" ht="12.75">
      <c r="B63" s="195"/>
      <c r="C63" s="195"/>
      <c r="D63" s="195"/>
      <c r="E63" s="732"/>
      <c r="F63" s="198"/>
      <c r="G63" s="195"/>
      <c r="H63" s="195"/>
      <c r="I63" s="67"/>
      <c r="J63" s="164"/>
      <c r="K63" s="164"/>
      <c r="L63" s="69"/>
      <c r="M63" s="68"/>
      <c r="N63" s="122"/>
      <c r="O63" s="24"/>
    </row>
    <row r="64" spans="9:14" ht="15.75">
      <c r="I64" s="91" t="s">
        <v>2205</v>
      </c>
      <c r="J64" s="151"/>
      <c r="K64" s="66"/>
      <c r="L64" s="31"/>
      <c r="M64" s="32"/>
      <c r="N64" s="7"/>
    </row>
    <row r="65" spans="2:15" s="349" customFormat="1" ht="12.75">
      <c r="B65" s="611"/>
      <c r="C65" s="611"/>
      <c r="D65" s="611"/>
      <c r="E65" s="751"/>
      <c r="F65" s="612"/>
      <c r="G65" s="611"/>
      <c r="H65" s="611"/>
      <c r="I65" s="15" t="s">
        <v>1809</v>
      </c>
      <c r="J65" s="152"/>
      <c r="K65" s="152"/>
      <c r="L65" s="128"/>
      <c r="M65" s="129">
        <v>0.39</v>
      </c>
      <c r="N65" s="350" t="s">
        <v>1362</v>
      </c>
      <c r="O65" s="448" t="s">
        <v>637</v>
      </c>
    </row>
    <row r="66" spans="2:15" s="349" customFormat="1" ht="12.75">
      <c r="B66" s="611"/>
      <c r="C66" s="611"/>
      <c r="D66" s="611"/>
      <c r="E66" s="751"/>
      <c r="F66" s="612"/>
      <c r="G66" s="611"/>
      <c r="H66" s="611"/>
      <c r="I66" s="6">
        <v>0.69</v>
      </c>
      <c r="J66" s="55"/>
      <c r="K66" s="55"/>
      <c r="L66" s="7"/>
      <c r="M66" s="16">
        <v>0.69</v>
      </c>
      <c r="N66" s="350"/>
      <c r="O66" s="448" t="s">
        <v>2455</v>
      </c>
    </row>
    <row r="67" spans="9:15" ht="12.75">
      <c r="I67" s="97" t="s">
        <v>303</v>
      </c>
      <c r="J67" s="61"/>
      <c r="K67" s="61"/>
      <c r="L67" s="42"/>
      <c r="M67" s="41">
        <v>1.99</v>
      </c>
      <c r="N67" s="42"/>
      <c r="O67" s="24" t="s">
        <v>2337</v>
      </c>
    </row>
    <row r="68" spans="9:15" ht="12.75">
      <c r="I68" s="97" t="s">
        <v>715</v>
      </c>
      <c r="J68" s="61"/>
      <c r="K68" s="61"/>
      <c r="L68" s="42"/>
      <c r="M68" s="41">
        <v>1.99</v>
      </c>
      <c r="N68" s="42"/>
      <c r="O68" s="24" t="s">
        <v>2337</v>
      </c>
    </row>
    <row r="69" spans="9:15" ht="14.25">
      <c r="I69" s="40" t="s">
        <v>2314</v>
      </c>
      <c r="J69" s="61"/>
      <c r="K69" s="61"/>
      <c r="M69" s="5">
        <v>1.89</v>
      </c>
      <c r="N69" s="7"/>
      <c r="O69" s="24" t="s">
        <v>2802</v>
      </c>
    </row>
    <row r="70" spans="9:15" ht="12.75">
      <c r="I70" s="31" t="s">
        <v>1319</v>
      </c>
      <c r="J70" s="61">
        <v>2</v>
      </c>
      <c r="K70" s="61">
        <f>J70*0.97</f>
        <v>1.94</v>
      </c>
      <c r="L70">
        <v>1000</v>
      </c>
      <c r="M70" s="5">
        <f>K70/L70*1000</f>
        <v>1.94</v>
      </c>
      <c r="N70" s="7"/>
      <c r="O70" s="24" t="s">
        <v>1531</v>
      </c>
    </row>
    <row r="71" spans="9:14" ht="12.75">
      <c r="I71" s="31"/>
      <c r="J71" s="61"/>
      <c r="K71" s="61"/>
      <c r="M71" s="5"/>
      <c r="N71" s="7"/>
    </row>
    <row r="72" spans="2:15" s="5" customFormat="1" ht="15.75">
      <c r="B72" s="195"/>
      <c r="C72" s="195"/>
      <c r="D72" s="195"/>
      <c r="E72" s="732"/>
      <c r="F72" s="198"/>
      <c r="G72" s="195"/>
      <c r="H72" s="195"/>
      <c r="I72" s="248" t="s">
        <v>1696</v>
      </c>
      <c r="J72" s="61"/>
      <c r="K72" s="61"/>
      <c r="L72"/>
      <c r="N72" s="122"/>
      <c r="O72" s="24"/>
    </row>
    <row r="73" spans="2:15" s="5" customFormat="1" ht="12.75">
      <c r="B73" s="195"/>
      <c r="C73" s="195"/>
      <c r="D73" s="195"/>
      <c r="E73" s="732"/>
      <c r="F73" s="198"/>
      <c r="G73" s="195"/>
      <c r="H73" s="195"/>
      <c r="I73" s="15" t="s">
        <v>1588</v>
      </c>
      <c r="J73" s="55"/>
      <c r="K73" s="55">
        <v>1.99</v>
      </c>
      <c r="L73" s="7">
        <v>15</v>
      </c>
      <c r="M73" s="16">
        <f>K73/L73*1000</f>
        <v>132.66666666666666</v>
      </c>
      <c r="N73" s="122"/>
      <c r="O73" s="448" t="s">
        <v>1400</v>
      </c>
    </row>
    <row r="74" spans="2:15" s="5" customFormat="1" ht="12.75">
      <c r="B74" s="195"/>
      <c r="C74" s="195"/>
      <c r="D74" s="195"/>
      <c r="E74" s="732"/>
      <c r="F74" s="198"/>
      <c r="G74" s="195"/>
      <c r="H74" s="195"/>
      <c r="I74" s="2" t="s">
        <v>409</v>
      </c>
      <c r="J74" s="61"/>
      <c r="K74" s="61">
        <v>1.99</v>
      </c>
      <c r="L74">
        <v>15</v>
      </c>
      <c r="M74" s="5">
        <f>K74/L74*1000</f>
        <v>132.66666666666666</v>
      </c>
      <c r="N74" s="122"/>
      <c r="O74" s="448" t="s">
        <v>727</v>
      </c>
    </row>
    <row r="75" spans="2:15" s="5" customFormat="1" ht="12.75">
      <c r="B75" s="195"/>
      <c r="C75" s="195"/>
      <c r="D75" s="195"/>
      <c r="E75" s="732"/>
      <c r="F75" s="198"/>
      <c r="G75" s="195"/>
      <c r="H75" s="195"/>
      <c r="I75" s="28" t="s">
        <v>931</v>
      </c>
      <c r="J75" s="61"/>
      <c r="K75" s="61"/>
      <c r="L75" s="614" t="s">
        <v>932</v>
      </c>
      <c r="M75" s="189"/>
      <c r="N75" s="122"/>
      <c r="O75" s="716" t="s">
        <v>727</v>
      </c>
    </row>
    <row r="76" spans="2:15" s="5" customFormat="1" ht="12.75">
      <c r="B76" s="195"/>
      <c r="C76" s="195"/>
      <c r="D76" s="195"/>
      <c r="E76" s="732"/>
      <c r="F76" s="198"/>
      <c r="G76" s="195"/>
      <c r="H76" s="195"/>
      <c r="I76" s="301" t="s">
        <v>2447</v>
      </c>
      <c r="J76" s="61"/>
      <c r="K76" s="61">
        <v>2.29</v>
      </c>
      <c r="L76">
        <v>15</v>
      </c>
      <c r="M76" s="5">
        <f>K76/L76*1000</f>
        <v>152.66666666666669</v>
      </c>
      <c r="N76" s="122"/>
      <c r="O76" s="24" t="s">
        <v>942</v>
      </c>
    </row>
    <row r="77" spans="2:15" s="5" customFormat="1" ht="12.75">
      <c r="B77" s="195"/>
      <c r="C77" s="195"/>
      <c r="D77" s="195"/>
      <c r="E77" s="732"/>
      <c r="F77" s="198"/>
      <c r="G77" s="195"/>
      <c r="H77" s="195"/>
      <c r="I77" s="576" t="s">
        <v>2447</v>
      </c>
      <c r="J77" s="96"/>
      <c r="K77" s="96">
        <v>1.99</v>
      </c>
      <c r="L77" s="30">
        <v>15</v>
      </c>
      <c r="M77" s="29">
        <f>K77/L77*1000</f>
        <v>132.66666666666666</v>
      </c>
      <c r="N77" s="122"/>
      <c r="O77" s="24" t="s">
        <v>2646</v>
      </c>
    </row>
    <row r="78" spans="2:15" s="5" customFormat="1" ht="12.75">
      <c r="B78" s="195"/>
      <c r="C78" s="195"/>
      <c r="D78" s="195"/>
      <c r="E78" s="732"/>
      <c r="F78" s="198"/>
      <c r="G78" s="195"/>
      <c r="H78" s="195"/>
      <c r="I78" s="2"/>
      <c r="J78" s="61"/>
      <c r="K78" s="61"/>
      <c r="L78"/>
      <c r="N78" s="122"/>
      <c r="O78" s="24"/>
    </row>
    <row r="79" spans="2:15" s="5" customFormat="1" ht="12.75">
      <c r="B79" s="195"/>
      <c r="C79" s="195"/>
      <c r="D79" s="195"/>
      <c r="E79" s="732"/>
      <c r="F79" s="198"/>
      <c r="G79" s="195"/>
      <c r="H79" s="195"/>
      <c r="I79" s="2"/>
      <c r="J79" s="61"/>
      <c r="K79" s="61"/>
      <c r="L79"/>
      <c r="N79" s="122"/>
      <c r="O79" s="24"/>
    </row>
    <row r="80" spans="2:15" s="5" customFormat="1" ht="15.75">
      <c r="B80" s="195"/>
      <c r="C80" s="195"/>
      <c r="D80" s="195"/>
      <c r="E80" s="732"/>
      <c r="F80" s="198"/>
      <c r="G80" s="195"/>
      <c r="H80" s="195"/>
      <c r="I80" s="248" t="s">
        <v>56</v>
      </c>
      <c r="J80" s="61"/>
      <c r="K80" s="61"/>
      <c r="L80" s="24" t="s">
        <v>1896</v>
      </c>
      <c r="N80" s="122"/>
      <c r="O80" s="24"/>
    </row>
    <row r="81" spans="2:16" s="321" customFormat="1" ht="12.75">
      <c r="B81" s="319"/>
      <c r="C81" s="319"/>
      <c r="D81" s="319"/>
      <c r="E81" s="735"/>
      <c r="F81" s="483"/>
      <c r="G81" s="319"/>
      <c r="H81" s="319"/>
      <c r="I81" s="322" t="s">
        <v>2069</v>
      </c>
      <c r="J81" s="320"/>
      <c r="K81" s="320"/>
      <c r="L81" s="447"/>
      <c r="M81" s="321">
        <v>1.99</v>
      </c>
      <c r="N81" s="327"/>
      <c r="O81" s="448" t="s">
        <v>2070</v>
      </c>
      <c r="P81" s="607"/>
    </row>
    <row r="82" spans="2:15" s="321" customFormat="1" ht="12.75">
      <c r="B82" s="319"/>
      <c r="C82" s="319"/>
      <c r="D82" s="319"/>
      <c r="E82" s="735"/>
      <c r="F82" s="483"/>
      <c r="G82" s="319"/>
      <c r="H82" s="319"/>
      <c r="I82" s="378" t="s">
        <v>1102</v>
      </c>
      <c r="J82" s="379"/>
      <c r="K82" s="379">
        <v>1.79</v>
      </c>
      <c r="L82" s="349">
        <v>2</v>
      </c>
      <c r="M82" s="348">
        <f>K82/L82</f>
        <v>0.895</v>
      </c>
      <c r="N82" s="798"/>
      <c r="O82" s="448" t="s">
        <v>2168</v>
      </c>
    </row>
    <row r="83" spans="2:15" s="321" customFormat="1" ht="12.75">
      <c r="B83" s="319"/>
      <c r="C83" s="319"/>
      <c r="D83" s="319"/>
      <c r="E83" s="735"/>
      <c r="F83" s="483"/>
      <c r="G83" s="319"/>
      <c r="H83" s="319"/>
      <c r="I83" s="378" t="s">
        <v>2928</v>
      </c>
      <c r="J83" s="379"/>
      <c r="K83" s="379">
        <v>1.79</v>
      </c>
      <c r="L83" s="349">
        <v>2</v>
      </c>
      <c r="M83" s="348">
        <f>K83/L83</f>
        <v>0.895</v>
      </c>
      <c r="N83" s="798"/>
      <c r="O83" s="448" t="s">
        <v>2168</v>
      </c>
    </row>
    <row r="84" spans="2:16" s="321" customFormat="1" ht="12.75">
      <c r="B84" s="319"/>
      <c r="C84" s="319"/>
      <c r="D84" s="319"/>
      <c r="E84" s="735"/>
      <c r="F84" s="483"/>
      <c r="G84" s="319"/>
      <c r="H84" s="319"/>
      <c r="I84" s="322" t="s">
        <v>744</v>
      </c>
      <c r="J84" s="320"/>
      <c r="K84" s="320"/>
      <c r="L84" s="447"/>
      <c r="M84" s="321">
        <v>1.19</v>
      </c>
      <c r="N84" s="327" t="s">
        <v>507</v>
      </c>
      <c r="O84" s="448" t="s">
        <v>2455</v>
      </c>
      <c r="P84" s="607" t="s">
        <v>638</v>
      </c>
    </row>
    <row r="85" spans="2:16" s="321" customFormat="1" ht="12.75">
      <c r="B85" s="319"/>
      <c r="C85" s="319"/>
      <c r="D85" s="319"/>
      <c r="E85" s="735"/>
      <c r="F85" s="483"/>
      <c r="G85" s="319"/>
      <c r="H85" s="319"/>
      <c r="I85" s="313" t="s">
        <v>744</v>
      </c>
      <c r="J85" s="404"/>
      <c r="K85" s="404"/>
      <c r="L85" s="315"/>
      <c r="M85" s="314">
        <v>1.29</v>
      </c>
      <c r="N85" s="327" t="s">
        <v>2697</v>
      </c>
      <c r="O85" s="448" t="s">
        <v>2168</v>
      </c>
      <c r="P85" s="607" t="s">
        <v>638</v>
      </c>
    </row>
    <row r="86" spans="2:15" s="321" customFormat="1" ht="12.75">
      <c r="B86" s="319"/>
      <c r="C86" s="319"/>
      <c r="D86" s="319"/>
      <c r="E86" s="735"/>
      <c r="F86" s="483"/>
      <c r="G86" s="319"/>
      <c r="H86" s="319"/>
      <c r="I86" s="322" t="s">
        <v>744</v>
      </c>
      <c r="J86" s="320"/>
      <c r="K86" s="320"/>
      <c r="L86" s="447"/>
      <c r="M86" s="321">
        <v>1.49</v>
      </c>
      <c r="N86" s="798"/>
      <c r="O86" s="716" t="s">
        <v>637</v>
      </c>
    </row>
    <row r="87" spans="2:15" s="321" customFormat="1" ht="12.75">
      <c r="B87" s="319"/>
      <c r="C87" s="319"/>
      <c r="D87" s="319"/>
      <c r="E87" s="735"/>
      <c r="F87" s="483"/>
      <c r="G87" s="319"/>
      <c r="H87" s="319"/>
      <c r="I87" s="322" t="s">
        <v>1755</v>
      </c>
      <c r="J87" s="320"/>
      <c r="K87" s="320"/>
      <c r="L87" s="447"/>
      <c r="M87" s="321">
        <v>1.49</v>
      </c>
      <c r="N87" s="798"/>
      <c r="O87" s="448" t="s">
        <v>890</v>
      </c>
    </row>
    <row r="88" spans="2:15" s="321" customFormat="1" ht="12.75">
      <c r="B88" s="319"/>
      <c r="C88" s="319"/>
      <c r="D88" s="319"/>
      <c r="E88" s="735"/>
      <c r="F88" s="483"/>
      <c r="G88" s="319"/>
      <c r="H88" s="319"/>
      <c r="I88" s="378" t="s">
        <v>795</v>
      </c>
      <c r="J88" s="379"/>
      <c r="K88" s="379">
        <v>1.79</v>
      </c>
      <c r="L88" s="349">
        <v>1.5</v>
      </c>
      <c r="M88" s="348">
        <f>K88/L88</f>
        <v>1.1933333333333334</v>
      </c>
      <c r="N88" s="798"/>
      <c r="O88" s="448" t="s">
        <v>754</v>
      </c>
    </row>
    <row r="89" spans="2:15" s="321" customFormat="1" ht="12.75">
      <c r="B89" s="319"/>
      <c r="C89" s="319"/>
      <c r="D89" s="319"/>
      <c r="E89" s="735"/>
      <c r="F89" s="483"/>
      <c r="G89" s="319"/>
      <c r="H89" s="319"/>
      <c r="I89" s="378" t="s">
        <v>2758</v>
      </c>
      <c r="J89" s="379"/>
      <c r="K89" s="379"/>
      <c r="L89" s="349">
        <v>1</v>
      </c>
      <c r="M89" s="348">
        <v>1.29</v>
      </c>
      <c r="N89" s="798"/>
      <c r="O89" s="448" t="s">
        <v>754</v>
      </c>
    </row>
    <row r="90" spans="2:15" s="5" customFormat="1" ht="12.75">
      <c r="B90" s="195"/>
      <c r="C90" s="195"/>
      <c r="D90" s="195"/>
      <c r="E90" s="732"/>
      <c r="F90" s="198"/>
      <c r="G90" s="195"/>
      <c r="H90" s="195"/>
      <c r="I90" s="59" t="s">
        <v>2435</v>
      </c>
      <c r="J90" s="154"/>
      <c r="K90" s="154"/>
      <c r="L90" s="63"/>
      <c r="M90" s="103">
        <v>1.49</v>
      </c>
      <c r="N90" s="122"/>
      <c r="O90" s="448" t="s">
        <v>2434</v>
      </c>
    </row>
    <row r="91" spans="2:15" s="5" customFormat="1" ht="12.75">
      <c r="B91" s="195"/>
      <c r="C91" s="195"/>
      <c r="D91" s="195"/>
      <c r="E91" s="732"/>
      <c r="F91" s="198"/>
      <c r="G91" s="195"/>
      <c r="H91" s="195"/>
      <c r="I91" s="71" t="s">
        <v>2435</v>
      </c>
      <c r="J91" s="96"/>
      <c r="K91" s="96"/>
      <c r="L91" s="30"/>
      <c r="M91" s="116">
        <v>0.99</v>
      </c>
      <c r="N91" s="122"/>
      <c r="O91" s="448" t="s">
        <v>2434</v>
      </c>
    </row>
    <row r="92" spans="2:15" s="5" customFormat="1" ht="12.75">
      <c r="B92" s="195"/>
      <c r="C92" s="195"/>
      <c r="D92" s="195"/>
      <c r="E92" s="732"/>
      <c r="F92" s="198"/>
      <c r="G92" s="195"/>
      <c r="H92" s="195"/>
      <c r="I92" s="123" t="s">
        <v>2818</v>
      </c>
      <c r="J92" s="162"/>
      <c r="K92" s="162">
        <v>0.79</v>
      </c>
      <c r="L92" s="149">
        <v>0.9</v>
      </c>
      <c r="M92" s="148">
        <f>K92/L92</f>
        <v>0.8777777777777778</v>
      </c>
      <c r="N92" s="122"/>
      <c r="O92" s="24" t="s">
        <v>2337</v>
      </c>
    </row>
    <row r="93" spans="2:15" s="5" customFormat="1" ht="12.75">
      <c r="B93" s="195"/>
      <c r="C93" s="195"/>
      <c r="D93" s="195"/>
      <c r="E93" s="732"/>
      <c r="F93" s="198"/>
      <c r="G93" s="195"/>
      <c r="H93" s="195"/>
      <c r="I93" s="123" t="s">
        <v>1390</v>
      </c>
      <c r="J93" s="162"/>
      <c r="K93" s="162">
        <v>1.49</v>
      </c>
      <c r="L93" s="149">
        <v>1.5</v>
      </c>
      <c r="M93" s="148">
        <f>K93/L93</f>
        <v>0.9933333333333333</v>
      </c>
      <c r="N93" s="122"/>
      <c r="O93" s="24" t="s">
        <v>2337</v>
      </c>
    </row>
    <row r="94" spans="2:15" s="5" customFormat="1" ht="12.75">
      <c r="B94" s="195"/>
      <c r="C94" s="195"/>
      <c r="D94" s="195"/>
      <c r="E94" s="732"/>
      <c r="F94" s="198"/>
      <c r="G94" s="195"/>
      <c r="H94" s="195"/>
      <c r="I94" s="123" t="s">
        <v>2276</v>
      </c>
      <c r="J94" s="162"/>
      <c r="K94" s="162">
        <v>1.19</v>
      </c>
      <c r="L94" s="149">
        <v>2</v>
      </c>
      <c r="M94" s="148">
        <f>K94/L94</f>
        <v>0.595</v>
      </c>
      <c r="N94" s="122"/>
      <c r="O94" s="24" t="s">
        <v>2337</v>
      </c>
    </row>
    <row r="95" spans="2:15" s="321" customFormat="1" ht="12.75">
      <c r="B95" s="319"/>
      <c r="C95" s="319"/>
      <c r="D95" s="319"/>
      <c r="E95" s="735"/>
      <c r="F95" s="483"/>
      <c r="G95" s="319"/>
      <c r="H95" s="319"/>
      <c r="I95" s="378"/>
      <c r="J95" s="379"/>
      <c r="K95" s="379"/>
      <c r="L95" s="349"/>
      <c r="M95" s="348"/>
      <c r="N95" s="798"/>
      <c r="O95" s="448"/>
    </row>
    <row r="96" spans="2:15" s="321" customFormat="1" ht="15.75">
      <c r="B96" s="319"/>
      <c r="C96" s="319"/>
      <c r="D96" s="319"/>
      <c r="E96" s="735"/>
      <c r="F96" s="483"/>
      <c r="G96" s="319"/>
      <c r="H96" s="319"/>
      <c r="I96" s="248" t="s">
        <v>2549</v>
      </c>
      <c r="J96" s="379"/>
      <c r="K96" s="379"/>
      <c r="L96" s="349"/>
      <c r="M96" s="348" t="s">
        <v>2550</v>
      </c>
      <c r="N96" s="798"/>
      <c r="O96" s="448"/>
    </row>
    <row r="97" spans="2:15" s="321" customFormat="1" ht="12.75">
      <c r="B97" s="319"/>
      <c r="C97" s="319"/>
      <c r="D97" s="319"/>
      <c r="E97" s="735"/>
      <c r="F97" s="483"/>
      <c r="G97" s="319"/>
      <c r="H97" s="319"/>
      <c r="I97" s="322" t="s">
        <v>2551</v>
      </c>
      <c r="J97" s="320"/>
      <c r="K97" s="320"/>
      <c r="L97" s="447"/>
      <c r="M97" s="321">
        <v>0.39</v>
      </c>
      <c r="N97" s="798"/>
      <c r="O97" s="448" t="s">
        <v>2065</v>
      </c>
    </row>
    <row r="98" spans="2:15" s="5" customFormat="1" ht="12.75">
      <c r="B98" s="195"/>
      <c r="C98" s="195"/>
      <c r="D98" s="195"/>
      <c r="E98" s="732"/>
      <c r="F98" s="198"/>
      <c r="G98" s="195"/>
      <c r="H98" s="195"/>
      <c r="I98" s="718" t="s">
        <v>2552</v>
      </c>
      <c r="J98" s="320"/>
      <c r="K98" s="320"/>
      <c r="L98" s="447"/>
      <c r="M98" s="1115" t="s">
        <v>3035</v>
      </c>
      <c r="N98" s="387"/>
      <c r="O98" s="448" t="s">
        <v>2065</v>
      </c>
    </row>
    <row r="99" spans="9:14" ht="15.75" customHeight="1">
      <c r="I99" s="201"/>
      <c r="J99" s="66"/>
      <c r="K99" s="32"/>
      <c r="L99" s="33"/>
      <c r="M99" s="32"/>
      <c r="N99" s="74"/>
    </row>
    <row r="100" spans="9:14" ht="15.75" customHeight="1">
      <c r="I100" s="178" t="s">
        <v>1545</v>
      </c>
      <c r="J100" s="66"/>
      <c r="K100" s="32"/>
      <c r="L100" s="88" t="s">
        <v>2737</v>
      </c>
      <c r="M100" s="32"/>
      <c r="N100" s="74"/>
    </row>
    <row r="101" spans="2:15" s="396" customFormat="1" ht="15.75" customHeight="1">
      <c r="B101" s="441"/>
      <c r="C101" s="441"/>
      <c r="D101" s="441"/>
      <c r="E101" s="748"/>
      <c r="F101" s="442"/>
      <c r="G101" s="441"/>
      <c r="H101" s="441"/>
      <c r="I101" s="1299" t="s">
        <v>1911</v>
      </c>
      <c r="J101" s="379"/>
      <c r="K101" s="1300">
        <v>0.39</v>
      </c>
      <c r="L101" s="349">
        <v>200</v>
      </c>
      <c r="M101" s="348">
        <f>K101/L101*1000</f>
        <v>1.9500000000000002</v>
      </c>
      <c r="N101" s="925"/>
      <c r="O101" s="448" t="s">
        <v>3144</v>
      </c>
    </row>
    <row r="102" spans="2:15" s="396" customFormat="1" ht="15.75" customHeight="1">
      <c r="B102" s="441"/>
      <c r="C102" s="441"/>
      <c r="D102" s="441"/>
      <c r="E102" s="748"/>
      <c r="F102" s="442"/>
      <c r="G102" s="441"/>
      <c r="H102" s="441"/>
      <c r="I102" s="1486" t="s">
        <v>1911</v>
      </c>
      <c r="J102" s="1500"/>
      <c r="K102" s="1501">
        <v>0.45</v>
      </c>
      <c r="L102" s="1488">
        <v>200</v>
      </c>
      <c r="M102" s="1487">
        <f aca="true" t="shared" si="5" ref="M102:M107">K102/L102*1000</f>
        <v>2.2500000000000004</v>
      </c>
      <c r="N102" s="925"/>
      <c r="O102" s="448" t="s">
        <v>1586</v>
      </c>
    </row>
    <row r="103" spans="2:15" s="396" customFormat="1" ht="15.75" customHeight="1">
      <c r="B103" s="441"/>
      <c r="C103" s="441"/>
      <c r="D103" s="441"/>
      <c r="E103" s="748"/>
      <c r="F103" s="442"/>
      <c r="G103" s="441"/>
      <c r="H103" s="441"/>
      <c r="I103" s="511" t="s">
        <v>643</v>
      </c>
      <c r="J103" s="434"/>
      <c r="K103" s="512">
        <v>0.39</v>
      </c>
      <c r="L103" s="409">
        <v>200</v>
      </c>
      <c r="M103" s="408">
        <f t="shared" si="5"/>
        <v>1.9500000000000002</v>
      </c>
      <c r="N103" s="925"/>
      <c r="O103" s="448" t="s">
        <v>1281</v>
      </c>
    </row>
    <row r="104" spans="2:15" s="396" customFormat="1" ht="15.75" customHeight="1">
      <c r="B104" s="441"/>
      <c r="C104" s="441"/>
      <c r="D104" s="441"/>
      <c r="E104" s="748"/>
      <c r="F104" s="442"/>
      <c r="G104" s="441"/>
      <c r="H104" s="441"/>
      <c r="I104" s="1299" t="s">
        <v>642</v>
      </c>
      <c r="J104" s="379"/>
      <c r="K104" s="1300">
        <v>0.29</v>
      </c>
      <c r="L104" s="349">
        <v>200</v>
      </c>
      <c r="M104" s="348">
        <f t="shared" si="5"/>
        <v>1.45</v>
      </c>
      <c r="N104" s="1301" t="s">
        <v>1362</v>
      </c>
      <c r="O104" s="448" t="s">
        <v>2768</v>
      </c>
    </row>
    <row r="105" spans="2:15" s="396" customFormat="1" ht="15.75" customHeight="1">
      <c r="B105" s="441"/>
      <c r="C105" s="441"/>
      <c r="D105" s="441"/>
      <c r="E105" s="748"/>
      <c r="F105" s="442"/>
      <c r="G105" s="441"/>
      <c r="H105" s="441"/>
      <c r="I105" s="1299" t="s">
        <v>642</v>
      </c>
      <c r="J105" s="379"/>
      <c r="K105" s="1300">
        <v>0.39</v>
      </c>
      <c r="L105" s="349">
        <v>200</v>
      </c>
      <c r="M105" s="348">
        <f t="shared" si="5"/>
        <v>1.9500000000000002</v>
      </c>
      <c r="N105" s="925"/>
      <c r="O105" s="448" t="s">
        <v>2634</v>
      </c>
    </row>
    <row r="106" spans="2:15" s="391" customFormat="1" ht="15.75" customHeight="1">
      <c r="B106" s="898"/>
      <c r="C106" s="898"/>
      <c r="D106" s="898"/>
      <c r="E106" s="899"/>
      <c r="F106" s="900"/>
      <c r="G106" s="898"/>
      <c r="H106" s="898"/>
      <c r="I106" s="266" t="s">
        <v>2011</v>
      </c>
      <c r="J106" s="403"/>
      <c r="K106" s="1300">
        <v>0.39</v>
      </c>
      <c r="L106" s="349">
        <v>200</v>
      </c>
      <c r="M106" s="348">
        <f t="shared" si="5"/>
        <v>1.9500000000000002</v>
      </c>
      <c r="N106" s="1216"/>
      <c r="O106" s="1217" t="s">
        <v>662</v>
      </c>
    </row>
    <row r="107" spans="2:15" s="391" customFormat="1" ht="15.75" customHeight="1">
      <c r="B107" s="393"/>
      <c r="C107" s="393"/>
      <c r="D107" s="393"/>
      <c r="E107" s="746"/>
      <c r="F107" s="394"/>
      <c r="G107" s="393"/>
      <c r="H107" s="393"/>
      <c r="I107" s="1218" t="s">
        <v>2012</v>
      </c>
      <c r="J107" s="403"/>
      <c r="K107" s="850">
        <v>0.49</v>
      </c>
      <c r="L107" s="851">
        <v>200</v>
      </c>
      <c r="M107" s="850">
        <f t="shared" si="5"/>
        <v>2.4499999999999997</v>
      </c>
      <c r="N107" s="1216"/>
      <c r="O107" s="1217" t="s">
        <v>662</v>
      </c>
    </row>
    <row r="108" spans="9:14" ht="15.75" customHeight="1">
      <c r="I108" s="201"/>
      <c r="J108" s="66"/>
      <c r="K108" s="32"/>
      <c r="L108" s="33"/>
      <c r="M108" s="32"/>
      <c r="N108" s="74"/>
    </row>
    <row r="109" spans="9:14" ht="15.75" customHeight="1">
      <c r="I109" s="52" t="s">
        <v>158</v>
      </c>
      <c r="J109" s="66"/>
      <c r="K109" s="32"/>
      <c r="L109" s="33"/>
      <c r="M109" s="32"/>
      <c r="N109" s="74"/>
    </row>
    <row r="110" spans="9:15" ht="15.75" customHeight="1">
      <c r="I110" s="201" t="s">
        <v>159</v>
      </c>
      <c r="J110" s="66"/>
      <c r="K110" s="32">
        <v>4.99</v>
      </c>
      <c r="L110" s="33">
        <v>360</v>
      </c>
      <c r="M110" s="5">
        <f>K110/L110*1000</f>
        <v>13.861111111111112</v>
      </c>
      <c r="N110" s="74"/>
      <c r="O110" s="24" t="s">
        <v>2058</v>
      </c>
    </row>
    <row r="111" spans="9:15" ht="15.75" customHeight="1">
      <c r="I111" s="1427" t="s">
        <v>613</v>
      </c>
      <c r="J111" s="55"/>
      <c r="K111" s="16">
        <v>3.49</v>
      </c>
      <c r="L111" s="7">
        <v>870</v>
      </c>
      <c r="M111" s="16">
        <f>K111/L111*1000</f>
        <v>4.011494252873563</v>
      </c>
      <c r="N111" s="74"/>
      <c r="O111" s="24" t="s">
        <v>2514</v>
      </c>
    </row>
    <row r="112" spans="9:14" ht="15.75" customHeight="1">
      <c r="I112" s="201"/>
      <c r="J112" s="66"/>
      <c r="K112" s="32"/>
      <c r="L112" s="33"/>
      <c r="M112" s="32"/>
      <c r="N112" s="74"/>
    </row>
    <row r="113" spans="2:15" s="5" customFormat="1" ht="12.75">
      <c r="B113" s="195"/>
      <c r="C113" s="195"/>
      <c r="D113" s="195"/>
      <c r="E113" s="732"/>
      <c r="F113" s="198"/>
      <c r="G113" s="195"/>
      <c r="H113" s="195"/>
      <c r="I113" s="2"/>
      <c r="J113" s="61"/>
      <c r="K113" s="61"/>
      <c r="L113"/>
      <c r="N113" s="122"/>
      <c r="O113" s="24"/>
    </row>
    <row r="114" spans="2:15" s="5" customFormat="1" ht="15.75">
      <c r="B114" s="195"/>
      <c r="C114" s="195"/>
      <c r="D114" s="195"/>
      <c r="E114" s="732"/>
      <c r="F114" s="198"/>
      <c r="G114" s="195"/>
      <c r="H114" s="195"/>
      <c r="I114" s="52" t="s">
        <v>118</v>
      </c>
      <c r="J114" s="61"/>
      <c r="K114" s="61"/>
      <c r="L114"/>
      <c r="N114" s="122"/>
      <c r="O114" s="24"/>
    </row>
    <row r="115" spans="2:15" s="5" customFormat="1" ht="12.75">
      <c r="B115" s="195"/>
      <c r="C115" s="195"/>
      <c r="D115" s="195"/>
      <c r="E115" s="732"/>
      <c r="F115" s="198"/>
      <c r="G115" s="195"/>
      <c r="H115" s="195"/>
      <c r="I115" s="97" t="s">
        <v>3027</v>
      </c>
      <c r="J115" s="61"/>
      <c r="K115" s="61"/>
      <c r="L115"/>
      <c r="M115" s="5">
        <v>4.44</v>
      </c>
      <c r="N115" s="122"/>
      <c r="O115" s="24" t="s">
        <v>161</v>
      </c>
    </row>
    <row r="116" spans="2:15" s="5" customFormat="1" ht="12.75">
      <c r="B116" s="195"/>
      <c r="C116" s="195"/>
      <c r="D116" s="195"/>
      <c r="E116" s="732"/>
      <c r="F116" s="198"/>
      <c r="G116" s="195"/>
      <c r="H116" s="195"/>
      <c r="I116" s="97" t="s">
        <v>1383</v>
      </c>
      <c r="J116" s="61"/>
      <c r="K116" s="61">
        <v>1.49</v>
      </c>
      <c r="L116">
        <v>500</v>
      </c>
      <c r="M116" s="5">
        <f>K116/L116*1000</f>
        <v>2.98</v>
      </c>
      <c r="N116" s="122"/>
      <c r="O116" s="24" t="s">
        <v>2350</v>
      </c>
    </row>
    <row r="117" spans="2:15" s="5" customFormat="1" ht="12.75">
      <c r="B117" s="195"/>
      <c r="C117" s="195"/>
      <c r="D117" s="195"/>
      <c r="E117" s="732"/>
      <c r="F117" s="198"/>
      <c r="G117" s="195"/>
      <c r="H117" s="195"/>
      <c r="I117" s="97" t="s">
        <v>1886</v>
      </c>
      <c r="J117" s="61"/>
      <c r="K117" s="61">
        <v>1.79</v>
      </c>
      <c r="L117">
        <v>500</v>
      </c>
      <c r="M117" s="5">
        <f>K117/L117*1000</f>
        <v>3.58</v>
      </c>
      <c r="N117" s="122"/>
      <c r="O117" s="24" t="s">
        <v>2350</v>
      </c>
    </row>
    <row r="118" spans="2:15" s="5" customFormat="1" ht="12.75">
      <c r="B118" s="195"/>
      <c r="C118" s="195"/>
      <c r="D118" s="195"/>
      <c r="E118" s="732"/>
      <c r="F118" s="198"/>
      <c r="G118" s="195"/>
      <c r="H118" s="195"/>
      <c r="I118" s="2"/>
      <c r="J118" s="61"/>
      <c r="K118" s="61"/>
      <c r="L118"/>
      <c r="N118" s="122"/>
      <c r="O118" s="24"/>
    </row>
    <row r="119" spans="2:15" s="5" customFormat="1" ht="15.75">
      <c r="B119" s="195"/>
      <c r="C119" s="195"/>
      <c r="D119" s="195"/>
      <c r="E119" s="732"/>
      <c r="F119" s="198"/>
      <c r="G119" s="195"/>
      <c r="H119" s="195"/>
      <c r="I119" s="52" t="s">
        <v>680</v>
      </c>
      <c r="J119" s="61"/>
      <c r="K119" s="61"/>
      <c r="L119"/>
      <c r="N119" s="122"/>
      <c r="O119" s="24"/>
    </row>
    <row r="120" spans="2:15" s="5" customFormat="1" ht="12.75">
      <c r="B120" s="195"/>
      <c r="C120" s="195"/>
      <c r="D120" s="195"/>
      <c r="E120" s="732"/>
      <c r="F120" s="198"/>
      <c r="G120" s="195"/>
      <c r="H120" s="195"/>
      <c r="I120" s="59" t="s">
        <v>1435</v>
      </c>
      <c r="J120" s="61"/>
      <c r="K120" s="61"/>
      <c r="L120"/>
      <c r="M120" s="5">
        <v>2.78</v>
      </c>
      <c r="N120" s="122"/>
      <c r="O120" s="24" t="s">
        <v>2488</v>
      </c>
    </row>
    <row r="121" spans="2:15" s="5" customFormat="1" ht="12.75">
      <c r="B121" s="195"/>
      <c r="C121" s="195"/>
      <c r="D121" s="195"/>
      <c r="E121" s="732"/>
      <c r="F121" s="198"/>
      <c r="G121" s="195"/>
      <c r="H121" s="195"/>
      <c r="I121" s="97" t="s">
        <v>2480</v>
      </c>
      <c r="J121" s="61"/>
      <c r="K121" s="61">
        <v>1.79</v>
      </c>
      <c r="L121">
        <v>500</v>
      </c>
      <c r="M121" s="5">
        <f>K121/L121*1000</f>
        <v>3.58</v>
      </c>
      <c r="N121" s="122"/>
      <c r="O121" s="24" t="s">
        <v>2350</v>
      </c>
    </row>
    <row r="122" spans="2:15" s="5" customFormat="1" ht="12.75">
      <c r="B122" s="195"/>
      <c r="C122" s="195"/>
      <c r="D122" s="195"/>
      <c r="E122" s="732"/>
      <c r="F122" s="198"/>
      <c r="G122" s="195"/>
      <c r="H122" s="195"/>
      <c r="I122" s="40" t="s">
        <v>117</v>
      </c>
      <c r="J122" s="61"/>
      <c r="K122" s="61">
        <v>2.49</v>
      </c>
      <c r="L122">
        <v>500</v>
      </c>
      <c r="M122" s="5">
        <f>K122/L122*1000</f>
        <v>4.98</v>
      </c>
      <c r="N122" s="122"/>
      <c r="O122" s="24" t="s">
        <v>2350</v>
      </c>
    </row>
    <row r="123" spans="2:15" s="5" customFormat="1" ht="12.75">
      <c r="B123" s="195"/>
      <c r="C123" s="195"/>
      <c r="D123" s="195"/>
      <c r="E123" s="732"/>
      <c r="F123" s="198"/>
      <c r="G123" s="195"/>
      <c r="H123" s="195"/>
      <c r="I123" s="2" t="s">
        <v>875</v>
      </c>
      <c r="J123" s="61"/>
      <c r="K123" s="61"/>
      <c r="L123"/>
      <c r="M123" s="5">
        <v>3.99</v>
      </c>
      <c r="N123" s="122"/>
      <c r="O123" s="24" t="s">
        <v>2568</v>
      </c>
    </row>
    <row r="124" spans="2:15" s="5" customFormat="1" ht="12.75">
      <c r="B124" s="195"/>
      <c r="C124" s="195"/>
      <c r="D124" s="195"/>
      <c r="E124" s="732"/>
      <c r="F124" s="198"/>
      <c r="G124" s="195"/>
      <c r="H124" s="195"/>
      <c r="I124" s="2" t="s">
        <v>1161</v>
      </c>
      <c r="J124" s="61"/>
      <c r="K124" s="61">
        <v>1.79</v>
      </c>
      <c r="L124">
        <v>500</v>
      </c>
      <c r="M124" s="5">
        <f aca="true" t="shared" si="6" ref="M124:M129">K124/L124*1000</f>
        <v>3.58</v>
      </c>
      <c r="N124" s="42" t="s">
        <v>1362</v>
      </c>
      <c r="O124" s="24" t="s">
        <v>2568</v>
      </c>
    </row>
    <row r="125" spans="2:15" s="5" customFormat="1" ht="12.75">
      <c r="B125" s="195"/>
      <c r="C125" s="195"/>
      <c r="D125" s="195"/>
      <c r="E125" s="732"/>
      <c r="F125" s="198"/>
      <c r="G125" s="195"/>
      <c r="H125" s="195"/>
      <c r="I125" s="209" t="s">
        <v>1161</v>
      </c>
      <c r="J125" s="61"/>
      <c r="K125" s="61">
        <v>2.79</v>
      </c>
      <c r="L125">
        <v>500</v>
      </c>
      <c r="M125" s="5">
        <f t="shared" si="6"/>
        <v>5.58</v>
      </c>
      <c r="N125" s="122"/>
      <c r="O125" s="24" t="s">
        <v>2568</v>
      </c>
    </row>
    <row r="126" spans="2:15" s="5" customFormat="1" ht="12.75">
      <c r="B126" s="195"/>
      <c r="C126" s="195"/>
      <c r="D126" s="195"/>
      <c r="E126" s="732"/>
      <c r="F126" s="198"/>
      <c r="G126" s="195"/>
      <c r="H126" s="195"/>
      <c r="I126" s="2" t="s">
        <v>1947</v>
      </c>
      <c r="J126" s="61"/>
      <c r="K126" s="61">
        <v>1.79</v>
      </c>
      <c r="L126">
        <v>750</v>
      </c>
      <c r="M126" s="5">
        <f t="shared" si="6"/>
        <v>2.3866666666666667</v>
      </c>
      <c r="N126" s="122"/>
      <c r="O126" s="24" t="s">
        <v>2568</v>
      </c>
    </row>
    <row r="127" spans="2:15" s="5" customFormat="1" ht="12.75">
      <c r="B127" s="195"/>
      <c r="C127" s="195"/>
      <c r="D127" s="195"/>
      <c r="E127" s="732"/>
      <c r="F127" s="198"/>
      <c r="G127" s="195"/>
      <c r="H127" s="195"/>
      <c r="I127" s="2" t="s">
        <v>933</v>
      </c>
      <c r="J127" s="61"/>
      <c r="K127" s="61">
        <v>1.79</v>
      </c>
      <c r="L127">
        <v>500</v>
      </c>
      <c r="M127" s="5">
        <f t="shared" si="6"/>
        <v>3.58</v>
      </c>
      <c r="N127" s="122"/>
      <c r="O127" s="24" t="s">
        <v>2568</v>
      </c>
    </row>
    <row r="128" spans="2:15" s="5" customFormat="1" ht="12.75">
      <c r="B128" s="195"/>
      <c r="C128" s="195"/>
      <c r="D128" s="195"/>
      <c r="E128" s="732"/>
      <c r="F128" s="198"/>
      <c r="G128" s="195"/>
      <c r="H128" s="195"/>
      <c r="I128" s="59" t="s">
        <v>934</v>
      </c>
      <c r="J128" s="61"/>
      <c r="K128" s="61">
        <v>1.79</v>
      </c>
      <c r="L128">
        <v>500</v>
      </c>
      <c r="M128" s="5">
        <f t="shared" si="6"/>
        <v>3.58</v>
      </c>
      <c r="N128" s="122"/>
      <c r="O128" s="24" t="s">
        <v>1705</v>
      </c>
    </row>
    <row r="129" spans="2:15" s="5" customFormat="1" ht="12.75">
      <c r="B129" s="195"/>
      <c r="C129" s="195"/>
      <c r="D129" s="195"/>
      <c r="E129" s="732"/>
      <c r="F129" s="198"/>
      <c r="G129" s="195"/>
      <c r="H129" s="195"/>
      <c r="I129" s="71" t="s">
        <v>1530</v>
      </c>
      <c r="J129" s="96"/>
      <c r="K129" s="96">
        <v>1.49</v>
      </c>
      <c r="L129" s="30">
        <v>500</v>
      </c>
      <c r="M129" s="29">
        <f t="shared" si="6"/>
        <v>2.98</v>
      </c>
      <c r="N129" s="117" t="s">
        <v>1362</v>
      </c>
      <c r="O129" s="24" t="s">
        <v>2568</v>
      </c>
    </row>
    <row r="130" spans="2:15" s="5" customFormat="1" ht="12.75">
      <c r="B130" s="195"/>
      <c r="C130" s="195"/>
      <c r="D130" s="195"/>
      <c r="E130" s="732"/>
      <c r="F130" s="198"/>
      <c r="G130" s="195"/>
      <c r="H130" s="195"/>
      <c r="I130" s="71" t="s">
        <v>1530</v>
      </c>
      <c r="J130" s="96"/>
      <c r="K130" s="96">
        <v>1.99</v>
      </c>
      <c r="L130" s="30">
        <v>500</v>
      </c>
      <c r="M130" s="29">
        <f>K130/L130*1000</f>
        <v>3.98</v>
      </c>
      <c r="N130" s="132"/>
      <c r="O130" s="24" t="s">
        <v>2568</v>
      </c>
    </row>
    <row r="131" spans="2:15" s="5" customFormat="1" ht="12.75">
      <c r="B131" s="195"/>
      <c r="C131" s="195"/>
      <c r="D131" s="195"/>
      <c r="E131" s="732"/>
      <c r="F131" s="198"/>
      <c r="G131" s="195"/>
      <c r="H131" s="195"/>
      <c r="I131" s="71" t="s">
        <v>627</v>
      </c>
      <c r="J131" s="96"/>
      <c r="K131" s="96"/>
      <c r="L131" s="30"/>
      <c r="M131" s="29">
        <v>3.49</v>
      </c>
      <c r="N131" s="132"/>
      <c r="O131" s="24" t="s">
        <v>1705</v>
      </c>
    </row>
    <row r="132" spans="2:15" s="5" customFormat="1" ht="12.75">
      <c r="B132" s="195"/>
      <c r="C132" s="195"/>
      <c r="D132" s="195"/>
      <c r="E132" s="732"/>
      <c r="F132" s="198"/>
      <c r="G132" s="195"/>
      <c r="H132" s="195"/>
      <c r="I132" s="2"/>
      <c r="J132" s="61"/>
      <c r="K132" s="61"/>
      <c r="L132"/>
      <c r="N132" s="122"/>
      <c r="O132" s="24"/>
    </row>
    <row r="133" spans="2:15" s="5" customFormat="1" ht="15.75">
      <c r="B133" s="195"/>
      <c r="C133" s="195"/>
      <c r="D133" s="195"/>
      <c r="E133" s="732"/>
      <c r="F133" s="198"/>
      <c r="G133" s="195"/>
      <c r="H133" s="195"/>
      <c r="I133" s="248" t="s">
        <v>1370</v>
      </c>
      <c r="J133" s="61"/>
      <c r="K133" s="61"/>
      <c r="L133"/>
      <c r="N133" s="122"/>
      <c r="O133" s="24"/>
    </row>
    <row r="134" spans="2:15" s="5" customFormat="1" ht="12.75">
      <c r="B134" s="195"/>
      <c r="C134" s="195"/>
      <c r="D134" s="195"/>
      <c r="E134" s="732"/>
      <c r="F134" s="198"/>
      <c r="G134" s="195"/>
      <c r="H134" s="195"/>
      <c r="I134" s="37" t="s">
        <v>341</v>
      </c>
      <c r="J134" s="61"/>
      <c r="K134" s="61"/>
      <c r="L134"/>
      <c r="M134" s="5">
        <v>4.49</v>
      </c>
      <c r="N134" s="122"/>
      <c r="O134" s="24" t="s">
        <v>1246</v>
      </c>
    </row>
    <row r="135" spans="2:15" s="5" customFormat="1" ht="12.75">
      <c r="B135" s="195"/>
      <c r="C135" s="195"/>
      <c r="D135" s="195"/>
      <c r="E135" s="732"/>
      <c r="F135" s="198"/>
      <c r="G135" s="195"/>
      <c r="H135" s="195"/>
      <c r="I135" s="59" t="s">
        <v>392</v>
      </c>
      <c r="J135" s="61"/>
      <c r="K135" s="61">
        <v>0.99</v>
      </c>
      <c r="L135">
        <v>450</v>
      </c>
      <c r="M135" s="5">
        <f>K135/L135*1000</f>
        <v>2.2</v>
      </c>
      <c r="N135" s="122"/>
      <c r="O135" s="24" t="s">
        <v>1246</v>
      </c>
    </row>
    <row r="136" spans="2:15" s="5" customFormat="1" ht="12.75">
      <c r="B136" s="195"/>
      <c r="C136" s="195"/>
      <c r="D136" s="195"/>
      <c r="E136" s="732"/>
      <c r="F136" s="198"/>
      <c r="G136" s="195"/>
      <c r="H136" s="195"/>
      <c r="I136" s="2"/>
      <c r="J136" s="61"/>
      <c r="K136" s="61"/>
      <c r="L136"/>
      <c r="N136" s="122"/>
      <c r="O136" s="24"/>
    </row>
    <row r="137" spans="2:15" s="5" customFormat="1" ht="15.75">
      <c r="B137" s="195"/>
      <c r="C137" s="195"/>
      <c r="D137" s="195"/>
      <c r="E137" s="732"/>
      <c r="F137" s="198"/>
      <c r="G137" s="195"/>
      <c r="H137" s="195"/>
      <c r="I137" s="248" t="s">
        <v>534</v>
      </c>
      <c r="J137" s="61"/>
      <c r="K137" s="429" t="s">
        <v>884</v>
      </c>
      <c r="L137" s="24"/>
      <c r="M137" s="102" t="s">
        <v>2759</v>
      </c>
      <c r="N137" s="122"/>
      <c r="O137" s="24"/>
    </row>
    <row r="138" spans="2:15" s="5" customFormat="1" ht="12.75">
      <c r="B138" s="195"/>
      <c r="C138" s="195"/>
      <c r="D138" s="195"/>
      <c r="E138" s="732"/>
      <c r="F138" s="198"/>
      <c r="G138" s="195"/>
      <c r="H138" s="195"/>
      <c r="I138" s="6" t="s">
        <v>391</v>
      </c>
      <c r="J138" s="55"/>
      <c r="K138" s="55">
        <v>1.49</v>
      </c>
      <c r="L138" s="7">
        <v>675</v>
      </c>
      <c r="M138" s="348">
        <f>K138/L138*1000</f>
        <v>2.2074074074074077</v>
      </c>
      <c r="N138" s="122"/>
      <c r="O138" s="24" t="s">
        <v>2320</v>
      </c>
    </row>
    <row r="139" spans="2:15" s="5" customFormat="1" ht="12.75">
      <c r="B139" s="195"/>
      <c r="C139" s="195"/>
      <c r="D139" s="195"/>
      <c r="E139" s="732"/>
      <c r="F139" s="198"/>
      <c r="G139" s="195"/>
      <c r="H139" s="195"/>
      <c r="I139" s="123" t="s">
        <v>391</v>
      </c>
      <c r="J139" s="162"/>
      <c r="K139" s="162">
        <v>1.19</v>
      </c>
      <c r="L139" s="149">
        <v>420</v>
      </c>
      <c r="M139" s="148">
        <f aca="true" t="shared" si="7" ref="M139:M144">K139/L139*1000</f>
        <v>2.833333333333333</v>
      </c>
      <c r="N139" s="122"/>
      <c r="O139" s="24" t="s">
        <v>2320</v>
      </c>
    </row>
    <row r="140" spans="2:15" s="5" customFormat="1" ht="12.75">
      <c r="B140" s="195"/>
      <c r="C140" s="195"/>
      <c r="D140" s="195"/>
      <c r="E140" s="732"/>
      <c r="F140" s="198"/>
      <c r="G140" s="195"/>
      <c r="H140" s="195"/>
      <c r="I140" s="123" t="s">
        <v>391</v>
      </c>
      <c r="J140" s="162"/>
      <c r="K140" s="162">
        <v>1.19</v>
      </c>
      <c r="L140" s="149">
        <v>590</v>
      </c>
      <c r="M140" s="148">
        <f t="shared" si="7"/>
        <v>2.016949152542373</v>
      </c>
      <c r="N140" s="122"/>
      <c r="O140" s="24" t="s">
        <v>2320</v>
      </c>
    </row>
    <row r="141" spans="2:15" s="5" customFormat="1" ht="12.75">
      <c r="B141" s="195"/>
      <c r="C141" s="195"/>
      <c r="D141" s="195"/>
      <c r="E141" s="732"/>
      <c r="F141" s="198"/>
      <c r="G141" s="195"/>
      <c r="H141" s="195"/>
      <c r="I141" s="123" t="s">
        <v>391</v>
      </c>
      <c r="J141" s="162"/>
      <c r="K141" s="162">
        <v>0.99</v>
      </c>
      <c r="L141" s="149">
        <v>590</v>
      </c>
      <c r="M141" s="148">
        <f t="shared" si="7"/>
        <v>1.6779661016949152</v>
      </c>
      <c r="N141" s="122"/>
      <c r="O141" s="24" t="s">
        <v>2320</v>
      </c>
    </row>
    <row r="142" spans="2:15" s="5" customFormat="1" ht="12.75">
      <c r="B142" s="195"/>
      <c r="C142" s="195"/>
      <c r="D142" s="195"/>
      <c r="E142" s="732"/>
      <c r="F142" s="198"/>
      <c r="G142" s="195"/>
      <c r="H142" s="195"/>
      <c r="I142" s="6" t="s">
        <v>2848</v>
      </c>
      <c r="J142" s="55"/>
      <c r="K142" s="55">
        <v>1.79</v>
      </c>
      <c r="L142" s="7">
        <v>590</v>
      </c>
      <c r="M142" s="348">
        <f t="shared" si="7"/>
        <v>3.0338983050847457</v>
      </c>
      <c r="N142" s="122"/>
      <c r="O142" s="24" t="s">
        <v>2390</v>
      </c>
    </row>
    <row r="143" spans="2:15" s="5" customFormat="1" ht="12.75">
      <c r="B143" s="195"/>
      <c r="C143" s="195"/>
      <c r="D143" s="195"/>
      <c r="E143" s="732"/>
      <c r="F143" s="198"/>
      <c r="G143" s="195"/>
      <c r="H143" s="195"/>
      <c r="I143" s="123" t="s">
        <v>2848</v>
      </c>
      <c r="J143" s="162"/>
      <c r="K143" s="148">
        <v>0.69</v>
      </c>
      <c r="L143" s="149">
        <v>530</v>
      </c>
      <c r="M143" s="408">
        <f t="shared" si="7"/>
        <v>1.3018867924528301</v>
      </c>
      <c r="N143" s="94"/>
      <c r="O143" s="24" t="s">
        <v>820</v>
      </c>
    </row>
    <row r="144" spans="2:15" s="5" customFormat="1" ht="12.75">
      <c r="B144" s="195"/>
      <c r="C144" s="195"/>
      <c r="D144" s="195"/>
      <c r="E144" s="732"/>
      <c r="F144" s="198"/>
      <c r="G144" s="195"/>
      <c r="H144" s="195"/>
      <c r="I144" s="123" t="s">
        <v>395</v>
      </c>
      <c r="J144" s="162"/>
      <c r="K144" s="148">
        <v>0.55</v>
      </c>
      <c r="L144" s="149">
        <v>580</v>
      </c>
      <c r="M144" s="408">
        <f t="shared" si="7"/>
        <v>0.9482758620689656</v>
      </c>
      <c r="N144" s="94"/>
      <c r="O144" s="24" t="s">
        <v>820</v>
      </c>
    </row>
    <row r="145" spans="2:15" s="5" customFormat="1" ht="12.75">
      <c r="B145" s="195"/>
      <c r="C145" s="195"/>
      <c r="D145" s="195"/>
      <c r="E145" s="732"/>
      <c r="F145" s="198"/>
      <c r="G145" s="195"/>
      <c r="H145" s="195"/>
      <c r="I145" s="56" t="s">
        <v>2086</v>
      </c>
      <c r="J145" s="61"/>
      <c r="K145" s="61"/>
      <c r="L145"/>
      <c r="N145" s="122"/>
      <c r="O145" s="24"/>
    </row>
    <row r="146" spans="2:15" s="5" customFormat="1" ht="12.75">
      <c r="B146" s="195"/>
      <c r="C146" s="195"/>
      <c r="D146" s="195"/>
      <c r="E146" s="732"/>
      <c r="F146" s="198"/>
      <c r="G146" s="195"/>
      <c r="H146" s="195"/>
      <c r="I146" s="6" t="s">
        <v>2789</v>
      </c>
      <c r="J146" s="61"/>
      <c r="K146" s="348">
        <v>1.99</v>
      </c>
      <c r="L146" s="349">
        <v>650</v>
      </c>
      <c r="M146" s="16">
        <f>K146/L146*1000</f>
        <v>3.0615384615384613</v>
      </c>
      <c r="N146" s="94"/>
      <c r="O146" s="24" t="s">
        <v>2131</v>
      </c>
    </row>
    <row r="147" spans="2:15" s="5" customFormat="1" ht="12.75">
      <c r="B147" s="195"/>
      <c r="C147" s="195"/>
      <c r="D147" s="195"/>
      <c r="E147" s="732"/>
      <c r="F147" s="198"/>
      <c r="G147" s="195"/>
      <c r="H147" s="195"/>
      <c r="I147" s="15" t="s">
        <v>2789</v>
      </c>
      <c r="J147" s="61"/>
      <c r="K147" s="348">
        <v>1.4</v>
      </c>
      <c r="L147" s="349">
        <v>560</v>
      </c>
      <c r="M147" s="16">
        <f>K147/L147*1000</f>
        <v>2.5</v>
      </c>
      <c r="N147" s="94" t="s">
        <v>1362</v>
      </c>
      <c r="O147" s="24" t="s">
        <v>2131</v>
      </c>
    </row>
    <row r="148" spans="2:15" s="5" customFormat="1" ht="12.75">
      <c r="B148" s="195"/>
      <c r="C148" s="195"/>
      <c r="D148" s="195"/>
      <c r="E148" s="732"/>
      <c r="F148" s="198"/>
      <c r="G148" s="195"/>
      <c r="H148" s="195"/>
      <c r="I148" s="31" t="s">
        <v>2334</v>
      </c>
      <c r="J148" s="61"/>
      <c r="K148" s="5">
        <v>1.89</v>
      </c>
      <c r="L148"/>
      <c r="N148" s="94"/>
      <c r="O148" s="24" t="s">
        <v>1352</v>
      </c>
    </row>
    <row r="149" spans="2:15" s="5" customFormat="1" ht="12.75">
      <c r="B149" s="195"/>
      <c r="C149" s="195"/>
      <c r="D149" s="195"/>
      <c r="E149" s="732"/>
      <c r="F149" s="198"/>
      <c r="G149" s="195"/>
      <c r="H149" s="195"/>
      <c r="I149" s="31" t="s">
        <v>2155</v>
      </c>
      <c r="J149" s="61"/>
      <c r="K149" s="5">
        <v>1.99</v>
      </c>
      <c r="L149"/>
      <c r="N149" s="94"/>
      <c r="O149" s="24" t="s">
        <v>1352</v>
      </c>
    </row>
    <row r="150" spans="2:15" s="5" customFormat="1" ht="12.75">
      <c r="B150" s="195"/>
      <c r="C150" s="195"/>
      <c r="D150" s="195"/>
      <c r="E150" s="732"/>
      <c r="F150" s="198"/>
      <c r="G150" s="195"/>
      <c r="H150" s="195"/>
      <c r="I150" s="2" t="s">
        <v>2395</v>
      </c>
      <c r="J150" s="61"/>
      <c r="K150" s="5">
        <v>1.99</v>
      </c>
      <c r="L150">
        <v>460</v>
      </c>
      <c r="M150" s="41">
        <f>K150/L150*1000</f>
        <v>4.326086956521739</v>
      </c>
      <c r="N150" s="94"/>
      <c r="O150" s="24" t="s">
        <v>2131</v>
      </c>
    </row>
    <row r="151" spans="2:15" s="5" customFormat="1" ht="12.75">
      <c r="B151" s="195"/>
      <c r="C151" s="195"/>
      <c r="D151" s="195"/>
      <c r="E151" s="732"/>
      <c r="F151" s="198"/>
      <c r="G151" s="195"/>
      <c r="H151" s="195"/>
      <c r="I151" s="31"/>
      <c r="J151" s="61"/>
      <c r="L151"/>
      <c r="N151" s="94"/>
      <c r="O151" s="24"/>
    </row>
    <row r="152" spans="2:15" s="5" customFormat="1" ht="12.75">
      <c r="B152" s="195"/>
      <c r="C152" s="195"/>
      <c r="D152" s="195"/>
      <c r="E152" s="732"/>
      <c r="F152" s="198"/>
      <c r="G152" s="195"/>
      <c r="H152" s="195"/>
      <c r="I152" s="31"/>
      <c r="J152" s="61"/>
      <c r="L152"/>
      <c r="N152" s="94"/>
      <c r="O152" s="24"/>
    </row>
    <row r="153" spans="2:15" s="5" customFormat="1" ht="15.75">
      <c r="B153" s="195"/>
      <c r="C153" s="195"/>
      <c r="D153" s="195"/>
      <c r="E153" s="732"/>
      <c r="F153" s="198"/>
      <c r="G153" s="195"/>
      <c r="H153" s="195"/>
      <c r="I153" s="248" t="s">
        <v>1393</v>
      </c>
      <c r="J153" s="61"/>
      <c r="K153" s="61"/>
      <c r="L153"/>
      <c r="N153" s="7"/>
      <c r="O153" s="24"/>
    </row>
    <row r="154" spans="2:15" s="5" customFormat="1" ht="12.75">
      <c r="B154" s="195"/>
      <c r="C154" s="195"/>
      <c r="D154" s="195"/>
      <c r="E154" s="732"/>
      <c r="F154" s="198"/>
      <c r="G154" s="195"/>
      <c r="H154" s="195"/>
      <c r="I154" s="2" t="s">
        <v>1395</v>
      </c>
      <c r="J154" s="61"/>
      <c r="K154" s="61"/>
      <c r="L154"/>
      <c r="M154" s="5">
        <v>3.99</v>
      </c>
      <c r="N154" s="7"/>
      <c r="O154" s="24" t="s">
        <v>1223</v>
      </c>
    </row>
    <row r="155" spans="2:15" s="5" customFormat="1" ht="12.75">
      <c r="B155" s="195"/>
      <c r="C155" s="195"/>
      <c r="D155" s="195"/>
      <c r="E155" s="732"/>
      <c r="F155" s="198"/>
      <c r="G155" s="195"/>
      <c r="H155" s="195"/>
      <c r="I155" s="71" t="s">
        <v>1395</v>
      </c>
      <c r="J155" s="96"/>
      <c r="K155" s="96"/>
      <c r="L155" s="30"/>
      <c r="M155" s="29">
        <v>2.79</v>
      </c>
      <c r="N155" s="7"/>
      <c r="O155" s="24" t="s">
        <v>289</v>
      </c>
    </row>
    <row r="156" spans="2:15" s="5" customFormat="1" ht="12.75">
      <c r="B156" s="195"/>
      <c r="C156" s="195"/>
      <c r="D156" s="195"/>
      <c r="E156" s="732"/>
      <c r="F156" s="198"/>
      <c r="G156" s="195"/>
      <c r="H156" s="195"/>
      <c r="I156" s="71" t="s">
        <v>1395</v>
      </c>
      <c r="J156" s="96"/>
      <c r="K156" s="96"/>
      <c r="L156" s="30"/>
      <c r="M156" s="29">
        <v>2.49</v>
      </c>
      <c r="N156" s="7"/>
      <c r="O156" s="24" t="s">
        <v>233</v>
      </c>
    </row>
    <row r="157" spans="2:15" s="5" customFormat="1" ht="12.75">
      <c r="B157" s="195"/>
      <c r="C157" s="195"/>
      <c r="D157" s="195"/>
      <c r="E157" s="732"/>
      <c r="F157" s="198"/>
      <c r="G157" s="195"/>
      <c r="H157" s="195"/>
      <c r="I157" s="71" t="s">
        <v>1395</v>
      </c>
      <c r="J157" s="96"/>
      <c r="K157" s="96"/>
      <c r="L157" s="30"/>
      <c r="M157" s="29">
        <v>2.99</v>
      </c>
      <c r="N157" s="7"/>
      <c r="O157" s="24" t="s">
        <v>233</v>
      </c>
    </row>
    <row r="158" spans="2:15" s="5" customFormat="1" ht="12.75">
      <c r="B158" s="195"/>
      <c r="C158" s="195"/>
      <c r="D158" s="195"/>
      <c r="E158" s="732"/>
      <c r="F158" s="198"/>
      <c r="G158" s="195"/>
      <c r="H158" s="195"/>
      <c r="I158" s="6" t="s">
        <v>3104</v>
      </c>
      <c r="J158" s="55"/>
      <c r="K158" s="55"/>
      <c r="L158" s="7"/>
      <c r="M158" s="16">
        <v>1</v>
      </c>
      <c r="N158" s="7"/>
      <c r="O158" s="24" t="s">
        <v>1038</v>
      </c>
    </row>
    <row r="159" spans="2:15" s="5" customFormat="1" ht="12.75">
      <c r="B159" s="195"/>
      <c r="C159" s="195"/>
      <c r="D159" s="195"/>
      <c r="E159" s="732"/>
      <c r="F159" s="198"/>
      <c r="G159" s="195"/>
      <c r="H159" s="195"/>
      <c r="I159" s="2"/>
      <c r="J159" s="61"/>
      <c r="K159" s="61"/>
      <c r="L159"/>
      <c r="N159" s="7"/>
      <c r="O159" s="24"/>
    </row>
    <row r="160" spans="2:15" s="5" customFormat="1" ht="15.75">
      <c r="B160" s="195"/>
      <c r="C160" s="195"/>
      <c r="D160" s="195"/>
      <c r="E160" s="732"/>
      <c r="F160" s="198"/>
      <c r="G160" s="195"/>
      <c r="H160" s="195"/>
      <c r="I160" s="248" t="s">
        <v>1154</v>
      </c>
      <c r="J160" s="61"/>
      <c r="K160" s="61"/>
      <c r="L160"/>
      <c r="N160" s="7"/>
      <c r="O160" s="24"/>
    </row>
    <row r="161" spans="2:15" s="5" customFormat="1" ht="12.75">
      <c r="B161" s="195"/>
      <c r="C161" s="195"/>
      <c r="D161" s="195"/>
      <c r="E161" s="732"/>
      <c r="F161" s="198"/>
      <c r="G161" s="195"/>
      <c r="H161" s="195"/>
      <c r="I161" s="40" t="s">
        <v>1408</v>
      </c>
      <c r="J161" s="61"/>
      <c r="K161" s="1283"/>
      <c r="L161" s="640"/>
      <c r="M161" s="98">
        <v>1.19</v>
      </c>
      <c r="N161" s="1066" t="s">
        <v>1362</v>
      </c>
      <c r="O161" s="24" t="s">
        <v>2455</v>
      </c>
    </row>
    <row r="162" spans="2:15" s="5" customFormat="1" ht="12.75">
      <c r="B162" s="195"/>
      <c r="C162" s="195"/>
      <c r="D162" s="195"/>
      <c r="E162" s="732"/>
      <c r="F162" s="198"/>
      <c r="G162" s="195"/>
      <c r="H162" s="195"/>
      <c r="I162" s="40" t="s">
        <v>906</v>
      </c>
      <c r="J162" s="61"/>
      <c r="K162" s="1283">
        <v>2.99</v>
      </c>
      <c r="L162" s="640">
        <v>2</v>
      </c>
      <c r="M162" s="98">
        <f>K162/L162</f>
        <v>1.495</v>
      </c>
      <c r="N162" s="640" t="s">
        <v>223</v>
      </c>
      <c r="O162" s="24" t="s">
        <v>2455</v>
      </c>
    </row>
    <row r="163" spans="2:15" s="5" customFormat="1" ht="12.75">
      <c r="B163" s="195"/>
      <c r="C163" s="195"/>
      <c r="D163" s="195"/>
      <c r="E163" s="732"/>
      <c r="F163" s="198"/>
      <c r="G163" s="195"/>
      <c r="H163" s="195"/>
      <c r="I163" s="6" t="s">
        <v>2092</v>
      </c>
      <c r="J163" s="55"/>
      <c r="K163" s="16">
        <v>0.99</v>
      </c>
      <c r="L163" s="7">
        <v>240</v>
      </c>
      <c r="M163" s="16">
        <f>K163/L163*1000</f>
        <v>4.125</v>
      </c>
      <c r="N163" s="7" t="s">
        <v>1409</v>
      </c>
      <c r="O163" s="24" t="s">
        <v>2455</v>
      </c>
    </row>
    <row r="164" spans="2:15" s="5" customFormat="1" ht="12.75">
      <c r="B164" s="195"/>
      <c r="C164" s="195"/>
      <c r="D164" s="195"/>
      <c r="E164" s="732"/>
      <c r="F164" s="198"/>
      <c r="G164" s="195"/>
      <c r="H164" s="195"/>
      <c r="I164" s="6" t="s">
        <v>2702</v>
      </c>
      <c r="J164" s="55"/>
      <c r="K164" s="55">
        <v>2.49</v>
      </c>
      <c r="L164" s="7">
        <v>750</v>
      </c>
      <c r="M164" s="16">
        <f>K164/L164*1000</f>
        <v>3.3200000000000003</v>
      </c>
      <c r="N164" s="7" t="s">
        <v>1409</v>
      </c>
      <c r="O164" s="24" t="s">
        <v>2168</v>
      </c>
    </row>
    <row r="165" spans="2:15" s="5" customFormat="1" ht="12.75">
      <c r="B165" s="195"/>
      <c r="C165" s="195"/>
      <c r="D165" s="195"/>
      <c r="E165" s="732"/>
      <c r="F165" s="198"/>
      <c r="G165" s="195"/>
      <c r="H165" s="195"/>
      <c r="I165" s="56" t="s">
        <v>2703</v>
      </c>
      <c r="J165" s="55"/>
      <c r="K165" s="55"/>
      <c r="L165" s="7"/>
      <c r="M165" s="16"/>
      <c r="N165" s="7"/>
      <c r="O165" s="614" t="s">
        <v>2168</v>
      </c>
    </row>
    <row r="166" spans="2:15" s="5" customFormat="1" ht="12.75">
      <c r="B166" s="195"/>
      <c r="C166" s="195"/>
      <c r="D166" s="195"/>
      <c r="E166" s="732"/>
      <c r="F166" s="198"/>
      <c r="G166" s="195"/>
      <c r="H166" s="195"/>
      <c r="I166" s="6" t="s">
        <v>830</v>
      </c>
      <c r="J166" s="55"/>
      <c r="K166" s="55"/>
      <c r="L166" s="7"/>
      <c r="M166" s="16">
        <v>0.99</v>
      </c>
      <c r="N166" s="7" t="s">
        <v>223</v>
      </c>
      <c r="O166" s="24" t="s">
        <v>458</v>
      </c>
    </row>
    <row r="167" spans="2:15" s="5" customFormat="1" ht="12.75">
      <c r="B167" s="195"/>
      <c r="C167" s="195"/>
      <c r="D167" s="195"/>
      <c r="E167" s="732"/>
      <c r="F167" s="198"/>
      <c r="G167" s="195"/>
      <c r="H167" s="195"/>
      <c r="I167" s="71" t="s">
        <v>818</v>
      </c>
      <c r="J167" s="158"/>
      <c r="K167" s="158"/>
      <c r="L167" s="117"/>
      <c r="M167" s="116">
        <v>0.88</v>
      </c>
      <c r="N167" s="7" t="s">
        <v>223</v>
      </c>
      <c r="O167" s="24" t="s">
        <v>1792</v>
      </c>
    </row>
    <row r="168" spans="2:15" s="5" customFormat="1" ht="12.75">
      <c r="B168" s="195"/>
      <c r="C168" s="195"/>
      <c r="D168" s="195"/>
      <c r="E168" s="732"/>
      <c r="F168" s="198"/>
      <c r="G168" s="195"/>
      <c r="H168" s="195"/>
      <c r="I168" s="59" t="s">
        <v>2161</v>
      </c>
      <c r="J168" s="163"/>
      <c r="K168" s="163"/>
      <c r="L168" s="39"/>
      <c r="M168" s="103">
        <v>1.49</v>
      </c>
      <c r="N168" s="7" t="s">
        <v>223</v>
      </c>
      <c r="O168" s="24"/>
    </row>
    <row r="169" spans="2:15" s="5" customFormat="1" ht="12.75">
      <c r="B169" s="195"/>
      <c r="C169" s="195"/>
      <c r="D169" s="195"/>
      <c r="E169" s="732"/>
      <c r="F169" s="198"/>
      <c r="G169" s="195"/>
      <c r="H169" s="195"/>
      <c r="I169" s="97" t="s">
        <v>1305</v>
      </c>
      <c r="J169" s="163"/>
      <c r="K169" s="163">
        <v>1.29</v>
      </c>
      <c r="L169" s="39">
        <v>250</v>
      </c>
      <c r="M169" s="58">
        <f>K169/L169*1000</f>
        <v>5.16</v>
      </c>
      <c r="N169" s="7"/>
      <c r="O169" s="24" t="s">
        <v>337</v>
      </c>
    </row>
    <row r="170" spans="2:15" s="5" customFormat="1" ht="12.75">
      <c r="B170" s="195"/>
      <c r="C170" s="195"/>
      <c r="D170" s="195"/>
      <c r="E170" s="732"/>
      <c r="F170" s="198"/>
      <c r="G170" s="195"/>
      <c r="H170" s="195"/>
      <c r="I170" s="71" t="s">
        <v>1305</v>
      </c>
      <c r="J170" s="158"/>
      <c r="K170" s="158">
        <v>0.99</v>
      </c>
      <c r="L170" s="117">
        <v>222</v>
      </c>
      <c r="M170" s="116">
        <f>K170/L170*1000</f>
        <v>4.459459459459459</v>
      </c>
      <c r="N170" s="7"/>
      <c r="O170" s="24" t="s">
        <v>36</v>
      </c>
    </row>
    <row r="171" spans="2:15" s="5" customFormat="1" ht="13.5" thickBot="1">
      <c r="B171" s="195"/>
      <c r="C171" s="195"/>
      <c r="D171" s="195"/>
      <c r="E171" s="732"/>
      <c r="F171" s="198"/>
      <c r="G171" s="195"/>
      <c r="H171" s="195"/>
      <c r="I171" s="97" t="s">
        <v>2236</v>
      </c>
      <c r="J171" s="163"/>
      <c r="K171" s="163"/>
      <c r="L171" s="39"/>
      <c r="M171" s="58">
        <v>0.99</v>
      </c>
      <c r="N171" s="7"/>
      <c r="O171" s="24" t="s">
        <v>293</v>
      </c>
    </row>
    <row r="172" spans="2:15" s="5" customFormat="1" ht="12.75">
      <c r="B172" s="195"/>
      <c r="C172" s="195"/>
      <c r="D172" s="195"/>
      <c r="E172" s="732"/>
      <c r="F172" s="198"/>
      <c r="G172" s="195"/>
      <c r="H172" s="195"/>
      <c r="I172" s="37" t="s">
        <v>1461</v>
      </c>
      <c r="J172" s="61"/>
      <c r="K172" s="1006">
        <v>1.99</v>
      </c>
      <c r="L172" s="1000">
        <v>2</v>
      </c>
      <c r="M172" s="1004">
        <f>K172/L172</f>
        <v>0.995</v>
      </c>
      <c r="N172" s="1003" t="s">
        <v>223</v>
      </c>
      <c r="O172" s="1002" t="s">
        <v>3017</v>
      </c>
    </row>
    <row r="173" spans="2:15" s="5" customFormat="1" ht="13.5" thickBot="1">
      <c r="B173" s="195"/>
      <c r="C173" s="195"/>
      <c r="D173" s="195"/>
      <c r="E173" s="732"/>
      <c r="F173" s="198"/>
      <c r="G173" s="195"/>
      <c r="H173" s="195"/>
      <c r="I173" s="37" t="s">
        <v>504</v>
      </c>
      <c r="J173" s="61"/>
      <c r="K173" s="1005">
        <v>2.99</v>
      </c>
      <c r="L173" s="285">
        <v>2</v>
      </c>
      <c r="M173" s="73">
        <f>K173/L173</f>
        <v>1.495</v>
      </c>
      <c r="N173" s="285" t="s">
        <v>223</v>
      </c>
      <c r="O173" s="1002" t="s">
        <v>3017</v>
      </c>
    </row>
    <row r="174" spans="2:15" s="5" customFormat="1" ht="12.75">
      <c r="B174" s="195"/>
      <c r="C174" s="195"/>
      <c r="D174" s="195"/>
      <c r="E174" s="732"/>
      <c r="F174" s="198"/>
      <c r="G174" s="195"/>
      <c r="H174" s="195"/>
      <c r="I174" s="2"/>
      <c r="J174" s="61"/>
      <c r="K174" s="1001"/>
      <c r="L174" s="997"/>
      <c r="M174" s="998"/>
      <c r="N174" s="999"/>
      <c r="O174" s="24"/>
    </row>
    <row r="175" spans="2:15" s="5" customFormat="1" ht="15.75">
      <c r="B175" s="195"/>
      <c r="C175" s="195"/>
      <c r="D175" s="195"/>
      <c r="E175" s="732"/>
      <c r="F175" s="198"/>
      <c r="G175" s="195"/>
      <c r="H175" s="195"/>
      <c r="I175" s="248" t="s">
        <v>1909</v>
      </c>
      <c r="J175" s="61"/>
      <c r="K175" s="61"/>
      <c r="L175"/>
      <c r="N175" s="33"/>
      <c r="O175" s="24"/>
    </row>
    <row r="176" spans="2:15" s="5" customFormat="1" ht="12.75">
      <c r="B176" s="195"/>
      <c r="C176" s="195"/>
      <c r="D176" s="195"/>
      <c r="E176" s="732"/>
      <c r="F176" s="198"/>
      <c r="G176" s="195"/>
      <c r="H176" s="195"/>
      <c r="I176" s="2" t="s">
        <v>2813</v>
      </c>
      <c r="J176" s="61"/>
      <c r="K176" s="61"/>
      <c r="L176"/>
      <c r="M176" s="32">
        <v>11.58</v>
      </c>
      <c r="N176" s="33"/>
      <c r="O176" s="24" t="s">
        <v>2170</v>
      </c>
    </row>
    <row r="177" spans="2:15" s="5" customFormat="1" ht="12.75">
      <c r="B177" s="195"/>
      <c r="C177" s="195"/>
      <c r="D177" s="195"/>
      <c r="E177" s="732"/>
      <c r="F177" s="198"/>
      <c r="G177" s="195"/>
      <c r="H177" s="195"/>
      <c r="I177" s="2" t="s">
        <v>125</v>
      </c>
      <c r="J177" s="61"/>
      <c r="K177" s="61">
        <v>2.49</v>
      </c>
      <c r="L177">
        <v>250</v>
      </c>
      <c r="M177" s="32">
        <f>K177/L177*1000</f>
        <v>9.96</v>
      </c>
      <c r="N177" s="33"/>
      <c r="O177" s="24" t="s">
        <v>752</v>
      </c>
    </row>
    <row r="178" spans="2:15" s="5" customFormat="1" ht="12.75">
      <c r="B178" s="195"/>
      <c r="C178" s="195"/>
      <c r="D178" s="195"/>
      <c r="E178" s="732"/>
      <c r="F178" s="198"/>
      <c r="G178" s="195"/>
      <c r="H178" s="195"/>
      <c r="I178" s="2" t="s">
        <v>38</v>
      </c>
      <c r="J178" s="61"/>
      <c r="K178" s="61">
        <v>2.29</v>
      </c>
      <c r="L178">
        <v>200</v>
      </c>
      <c r="M178" s="32">
        <f>K178/L178*1000</f>
        <v>11.45</v>
      </c>
      <c r="N178" s="33"/>
      <c r="O178" s="24" t="s">
        <v>752</v>
      </c>
    </row>
    <row r="179" spans="2:15" s="5" customFormat="1" ht="12.75">
      <c r="B179" s="195"/>
      <c r="C179" s="195"/>
      <c r="D179" s="195"/>
      <c r="E179" s="732"/>
      <c r="F179" s="198"/>
      <c r="G179" s="195"/>
      <c r="H179" s="195"/>
      <c r="I179" s="6" t="s">
        <v>410</v>
      </c>
      <c r="J179" s="55"/>
      <c r="K179" s="55"/>
      <c r="L179" s="7"/>
      <c r="M179" s="16">
        <v>6.9</v>
      </c>
      <c r="N179" s="33"/>
      <c r="O179" s="24">
        <v>2017</v>
      </c>
    </row>
    <row r="180" spans="2:15" s="5" customFormat="1" ht="12.75">
      <c r="B180" s="195"/>
      <c r="C180" s="195"/>
      <c r="D180" s="195"/>
      <c r="E180" s="732"/>
      <c r="F180" s="198"/>
      <c r="G180" s="195"/>
      <c r="H180" s="195"/>
      <c r="I180" s="123" t="s">
        <v>410</v>
      </c>
      <c r="J180" s="162"/>
      <c r="K180" s="162"/>
      <c r="L180" s="149"/>
      <c r="M180" s="148">
        <v>5.9</v>
      </c>
      <c r="N180" s="33"/>
      <c r="O180" s="24">
        <v>2016</v>
      </c>
    </row>
    <row r="181" spans="2:15" s="5" customFormat="1" ht="12.75">
      <c r="B181" s="195"/>
      <c r="C181" s="195"/>
      <c r="D181" s="195"/>
      <c r="E181" s="732"/>
      <c r="F181" s="198"/>
      <c r="G181" s="195"/>
      <c r="H181" s="195"/>
      <c r="I181" s="15" t="s">
        <v>2786</v>
      </c>
      <c r="J181" s="55"/>
      <c r="K181" s="55">
        <v>1.99</v>
      </c>
      <c r="L181" s="7">
        <v>500</v>
      </c>
      <c r="M181" s="16">
        <f>K181/L181*1000</f>
        <v>3.98</v>
      </c>
      <c r="N181" s="33"/>
      <c r="O181" s="24" t="s">
        <v>776</v>
      </c>
    </row>
    <row r="182" spans="2:15" s="5" customFormat="1" ht="12.75">
      <c r="B182" s="195"/>
      <c r="C182" s="195"/>
      <c r="D182" s="195"/>
      <c r="E182" s="732"/>
      <c r="F182" s="198"/>
      <c r="G182" s="195"/>
      <c r="H182" s="195"/>
      <c r="I182" s="6" t="s">
        <v>1777</v>
      </c>
      <c r="J182" s="55"/>
      <c r="K182" s="55"/>
      <c r="L182" s="7"/>
      <c r="M182" s="16">
        <v>5.9</v>
      </c>
      <c r="N182" s="94"/>
      <c r="O182" s="24">
        <v>2016</v>
      </c>
    </row>
    <row r="183" spans="2:15" s="5" customFormat="1" ht="12.75">
      <c r="B183" s="195"/>
      <c r="C183" s="195"/>
      <c r="D183" s="195"/>
      <c r="E183" s="732"/>
      <c r="F183" s="198"/>
      <c r="G183" s="195"/>
      <c r="H183" s="195"/>
      <c r="I183" s="123" t="s">
        <v>1777</v>
      </c>
      <c r="J183" s="162"/>
      <c r="K183" s="162"/>
      <c r="L183" s="149"/>
      <c r="M183" s="148">
        <v>4.9</v>
      </c>
      <c r="N183" s="94"/>
      <c r="O183" s="24">
        <v>2015</v>
      </c>
    </row>
    <row r="184" spans="2:15" s="5" customFormat="1" ht="12.75">
      <c r="B184" s="195"/>
      <c r="C184" s="195"/>
      <c r="D184" s="195"/>
      <c r="E184" s="732"/>
      <c r="F184" s="198"/>
      <c r="G184" s="195"/>
      <c r="H184" s="195"/>
      <c r="I184" s="123" t="s">
        <v>2481</v>
      </c>
      <c r="J184" s="162"/>
      <c r="K184" s="162">
        <v>1.99</v>
      </c>
      <c r="L184" s="149">
        <v>500</v>
      </c>
      <c r="M184" s="148">
        <f>K184/L184*1000</f>
        <v>3.98</v>
      </c>
      <c r="N184" s="94"/>
      <c r="O184" s="24" t="s">
        <v>3017</v>
      </c>
    </row>
    <row r="185" spans="2:15" s="5" customFormat="1" ht="12.75">
      <c r="B185" s="195"/>
      <c r="C185" s="195"/>
      <c r="D185" s="195"/>
      <c r="E185" s="732"/>
      <c r="F185" s="198"/>
      <c r="G185" s="195"/>
      <c r="H185" s="195"/>
      <c r="I185" s="123" t="s">
        <v>2786</v>
      </c>
      <c r="J185" s="162"/>
      <c r="K185" s="162">
        <v>1.99</v>
      </c>
      <c r="L185" s="149">
        <v>500</v>
      </c>
      <c r="M185" s="148">
        <f>K185/L185*1000</f>
        <v>3.98</v>
      </c>
      <c r="N185" s="94"/>
      <c r="O185" s="24" t="s">
        <v>3017</v>
      </c>
    </row>
    <row r="186" spans="2:15" s="5" customFormat="1" ht="12.75">
      <c r="B186" s="195"/>
      <c r="C186" s="195"/>
      <c r="D186" s="195"/>
      <c r="E186" s="732"/>
      <c r="F186" s="198"/>
      <c r="G186" s="195"/>
      <c r="H186" s="195"/>
      <c r="I186" s="123" t="s">
        <v>2786</v>
      </c>
      <c r="J186" s="162"/>
      <c r="K186" s="162">
        <f>1.69*0.8</f>
        <v>1.352</v>
      </c>
      <c r="L186" s="149">
        <v>500</v>
      </c>
      <c r="M186" s="148">
        <f>K186/L186*1000</f>
        <v>2.704</v>
      </c>
      <c r="N186" s="94" t="s">
        <v>2697</v>
      </c>
      <c r="O186" s="24" t="s">
        <v>161</v>
      </c>
    </row>
    <row r="187" spans="2:15" s="5" customFormat="1" ht="12.75">
      <c r="B187" s="195"/>
      <c r="C187" s="195"/>
      <c r="D187" s="195"/>
      <c r="E187" s="732"/>
      <c r="F187" s="198"/>
      <c r="G187" s="195"/>
      <c r="H187" s="195"/>
      <c r="I187" s="123" t="s">
        <v>2786</v>
      </c>
      <c r="J187" s="162"/>
      <c r="K187" s="162">
        <v>1.69</v>
      </c>
      <c r="L187" s="149">
        <v>500</v>
      </c>
      <c r="M187" s="148">
        <f>K187/L187*1000</f>
        <v>3.38</v>
      </c>
      <c r="N187" s="94"/>
      <c r="O187" s="716" t="s">
        <v>161</v>
      </c>
    </row>
    <row r="188" spans="2:15" s="5" customFormat="1" ht="12.75">
      <c r="B188" s="195"/>
      <c r="C188" s="195"/>
      <c r="D188" s="195"/>
      <c r="E188" s="732"/>
      <c r="F188" s="198"/>
      <c r="G188" s="195"/>
      <c r="H188" s="195"/>
      <c r="I188" s="15"/>
      <c r="J188" s="55"/>
      <c r="K188" s="55"/>
      <c r="L188" s="7"/>
      <c r="M188" s="129"/>
      <c r="N188" s="94"/>
      <c r="O188" s="24"/>
    </row>
    <row r="189" spans="2:15" s="5" customFormat="1" ht="15.75">
      <c r="B189" s="195"/>
      <c r="C189" s="195"/>
      <c r="D189" s="195"/>
      <c r="E189" s="732"/>
      <c r="F189" s="198"/>
      <c r="G189" s="195"/>
      <c r="H189" s="195"/>
      <c r="I189" s="248" t="s">
        <v>1079</v>
      </c>
      <c r="J189" s="55"/>
      <c r="K189" s="55"/>
      <c r="L189" s="7"/>
      <c r="M189" s="129"/>
      <c r="N189" s="94"/>
      <c r="O189" s="24"/>
    </row>
    <row r="190" spans="2:15" s="5" customFormat="1" ht="12.75">
      <c r="B190" s="195"/>
      <c r="C190" s="195"/>
      <c r="D190" s="195"/>
      <c r="E190" s="732"/>
      <c r="F190" s="198"/>
      <c r="G190" s="195"/>
      <c r="H190" s="195"/>
      <c r="I190" s="2" t="s">
        <v>2000</v>
      </c>
      <c r="J190" s="61"/>
      <c r="K190" s="61"/>
      <c r="L190"/>
      <c r="M190" s="5">
        <v>0.48</v>
      </c>
      <c r="N190" s="122" t="s">
        <v>1362</v>
      </c>
      <c r="O190" s="24" t="s">
        <v>2455</v>
      </c>
    </row>
    <row r="191" spans="2:15" s="5" customFormat="1" ht="12.75">
      <c r="B191" s="195"/>
      <c r="C191" s="195"/>
      <c r="D191" s="195"/>
      <c r="E191" s="732"/>
      <c r="F191" s="198"/>
      <c r="G191" s="195"/>
      <c r="H191" s="195"/>
      <c r="I191" s="2" t="s">
        <v>2741</v>
      </c>
      <c r="J191" s="61"/>
      <c r="K191" s="61"/>
      <c r="L191"/>
      <c r="M191" s="5">
        <v>0.59</v>
      </c>
      <c r="N191" s="7"/>
      <c r="O191" s="24" t="s">
        <v>1223</v>
      </c>
    </row>
    <row r="192" spans="2:15" s="5" customFormat="1" ht="12.75">
      <c r="B192" s="195"/>
      <c r="C192" s="195"/>
      <c r="D192" s="195"/>
      <c r="E192" s="732"/>
      <c r="F192" s="198"/>
      <c r="G192" s="195"/>
      <c r="H192" s="195"/>
      <c r="I192" s="2"/>
      <c r="J192" s="61"/>
      <c r="K192" s="61"/>
      <c r="L192"/>
      <c r="N192" s="7"/>
      <c r="O192" s="24"/>
    </row>
    <row r="193" spans="2:15" s="5" customFormat="1" ht="12.75">
      <c r="B193" s="195"/>
      <c r="C193" s="195"/>
      <c r="D193" s="195"/>
      <c r="E193" s="732"/>
      <c r="F193" s="198"/>
      <c r="G193" s="195"/>
      <c r="H193" s="195"/>
      <c r="I193" s="2"/>
      <c r="J193" s="61"/>
      <c r="K193" s="61"/>
      <c r="L193"/>
      <c r="N193" s="7"/>
      <c r="O193" s="24"/>
    </row>
    <row r="194" spans="2:15" s="5" customFormat="1" ht="15.75">
      <c r="B194" s="195"/>
      <c r="C194" s="195"/>
      <c r="D194" s="195"/>
      <c r="E194" s="732"/>
      <c r="F194" s="198"/>
      <c r="G194" s="195"/>
      <c r="H194" s="195"/>
      <c r="I194" s="248" t="s">
        <v>579</v>
      </c>
      <c r="J194" s="61"/>
      <c r="K194" s="61"/>
      <c r="L194"/>
      <c r="M194" s="1240" t="s">
        <v>311</v>
      </c>
      <c r="N194" s="7"/>
      <c r="O194" s="24"/>
    </row>
    <row r="195" spans="2:15" s="5" customFormat="1" ht="12.75">
      <c r="B195" s="195"/>
      <c r="C195" s="195"/>
      <c r="D195" s="195"/>
      <c r="E195" s="732"/>
      <c r="F195" s="198"/>
      <c r="G195" s="195"/>
      <c r="H195" s="195"/>
      <c r="I195" s="415" t="s">
        <v>2143</v>
      </c>
      <c r="J195" s="968"/>
      <c r="K195" s="968"/>
      <c r="L195" s="114"/>
      <c r="M195" s="969">
        <f>0.8*0.79</f>
        <v>0.6320000000000001</v>
      </c>
      <c r="N195" s="122" t="s">
        <v>2697</v>
      </c>
      <c r="O195" s="24" t="s">
        <v>1868</v>
      </c>
    </row>
    <row r="196" spans="2:15" s="5" customFormat="1" ht="12.75">
      <c r="B196" s="195"/>
      <c r="C196" s="195"/>
      <c r="D196" s="195"/>
      <c r="E196" s="732"/>
      <c r="F196" s="198"/>
      <c r="G196" s="195"/>
      <c r="H196" s="195"/>
      <c r="I196" s="112" t="s">
        <v>2143</v>
      </c>
      <c r="J196" s="968"/>
      <c r="K196" s="968"/>
      <c r="L196" s="114"/>
      <c r="M196" s="113">
        <v>0.79</v>
      </c>
      <c r="N196" s="7"/>
      <c r="O196" s="24" t="s">
        <v>2455</v>
      </c>
    </row>
    <row r="197" spans="2:15" s="5" customFormat="1" ht="12.75">
      <c r="B197" s="195"/>
      <c r="C197" s="195"/>
      <c r="D197" s="195"/>
      <c r="E197" s="732"/>
      <c r="F197" s="198"/>
      <c r="G197" s="195"/>
      <c r="H197" s="195"/>
      <c r="I197" s="97" t="s">
        <v>1290</v>
      </c>
      <c r="J197" s="61"/>
      <c r="K197" s="61"/>
      <c r="L197" s="42"/>
      <c r="M197" s="41">
        <v>2.49</v>
      </c>
      <c r="N197" s="7"/>
      <c r="O197" s="24" t="s">
        <v>1868</v>
      </c>
    </row>
    <row r="198" spans="2:15" s="5" customFormat="1" ht="12.75">
      <c r="B198" s="195"/>
      <c r="C198" s="195"/>
      <c r="D198" s="195"/>
      <c r="E198" s="732"/>
      <c r="F198" s="198"/>
      <c r="G198" s="195"/>
      <c r="H198" s="195"/>
      <c r="I198" s="109" t="s">
        <v>1413</v>
      </c>
      <c r="J198" s="120"/>
      <c r="K198" s="120"/>
      <c r="L198" s="23"/>
      <c r="M198" s="22">
        <v>2.59</v>
      </c>
      <c r="N198" s="7"/>
      <c r="O198" s="24" t="s">
        <v>1910</v>
      </c>
    </row>
    <row r="199" spans="2:15" s="5" customFormat="1" ht="12.75">
      <c r="B199" s="195"/>
      <c r="C199" s="195"/>
      <c r="D199" s="195"/>
      <c r="E199" s="732"/>
      <c r="F199" s="198"/>
      <c r="G199" s="195"/>
      <c r="H199" s="195"/>
      <c r="I199" s="109" t="s">
        <v>1413</v>
      </c>
      <c r="J199" s="120"/>
      <c r="K199" s="120"/>
      <c r="L199" s="23"/>
      <c r="M199" s="22">
        <v>1.99</v>
      </c>
      <c r="N199" s="7"/>
      <c r="O199" s="24" t="s">
        <v>1910</v>
      </c>
    </row>
    <row r="200" spans="2:15" s="5" customFormat="1" ht="12.75">
      <c r="B200" s="195"/>
      <c r="C200" s="195"/>
      <c r="D200" s="195"/>
      <c r="E200" s="732"/>
      <c r="F200" s="198"/>
      <c r="G200" s="195"/>
      <c r="H200" s="195"/>
      <c r="I200" s="109" t="s">
        <v>1290</v>
      </c>
      <c r="J200" s="120"/>
      <c r="K200" s="120"/>
      <c r="L200" s="23"/>
      <c r="M200" s="22">
        <v>2.39</v>
      </c>
      <c r="N200" s="7"/>
      <c r="O200" s="24" t="s">
        <v>2575</v>
      </c>
    </row>
    <row r="201" spans="2:15" s="5" customFormat="1" ht="12.75">
      <c r="B201" s="195"/>
      <c r="C201" s="195"/>
      <c r="D201" s="195"/>
      <c r="E201" s="732"/>
      <c r="F201" s="198"/>
      <c r="G201" s="195"/>
      <c r="H201" s="195"/>
      <c r="I201" s="97" t="s">
        <v>832</v>
      </c>
      <c r="J201" s="61"/>
      <c r="K201" s="61"/>
      <c r="L201" s="42"/>
      <c r="M201" s="41">
        <v>3.49</v>
      </c>
      <c r="N201" s="7"/>
      <c r="O201" s="24" t="s">
        <v>1431</v>
      </c>
    </row>
    <row r="202" spans="2:15" s="5" customFormat="1" ht="12.75">
      <c r="B202" s="195"/>
      <c r="C202" s="195"/>
      <c r="D202" s="195"/>
      <c r="E202" s="732"/>
      <c r="F202" s="198"/>
      <c r="G202" s="195"/>
      <c r="H202" s="195"/>
      <c r="I202" s="109" t="s">
        <v>2338</v>
      </c>
      <c r="J202" s="120"/>
      <c r="K202" s="120"/>
      <c r="L202" s="23"/>
      <c r="M202" s="22">
        <f>0.99*2.5</f>
        <v>2.475</v>
      </c>
      <c r="N202" s="7"/>
      <c r="O202" s="24" t="s">
        <v>1868</v>
      </c>
    </row>
    <row r="203" spans="2:15" s="5" customFormat="1" ht="12.75">
      <c r="B203" s="195"/>
      <c r="C203" s="195"/>
      <c r="D203" s="195"/>
      <c r="E203" s="732"/>
      <c r="F203" s="198"/>
      <c r="G203" s="195"/>
      <c r="H203" s="195"/>
      <c r="I203" s="109" t="s">
        <v>2393</v>
      </c>
      <c r="J203" s="120"/>
      <c r="K203" s="120"/>
      <c r="L203" s="23"/>
      <c r="M203" s="22">
        <v>2.05</v>
      </c>
      <c r="N203" s="7"/>
      <c r="O203" s="24" t="s">
        <v>1595</v>
      </c>
    </row>
    <row r="204" spans="2:15" s="5" customFormat="1" ht="12.75">
      <c r="B204" s="195"/>
      <c r="C204" s="195"/>
      <c r="D204" s="195"/>
      <c r="E204" s="732"/>
      <c r="F204" s="198"/>
      <c r="G204" s="195"/>
      <c r="H204" s="195"/>
      <c r="I204" s="109" t="s">
        <v>1823</v>
      </c>
      <c r="J204" s="120"/>
      <c r="K204" s="120"/>
      <c r="L204" s="23"/>
      <c r="M204" s="22">
        <v>1.56</v>
      </c>
      <c r="N204" s="122"/>
      <c r="O204" s="24" t="s">
        <v>1595</v>
      </c>
    </row>
    <row r="205" spans="2:15" s="5" customFormat="1" ht="12.75">
      <c r="B205" s="195"/>
      <c r="C205" s="195"/>
      <c r="D205" s="195"/>
      <c r="E205" s="732"/>
      <c r="F205" s="198"/>
      <c r="G205" s="195"/>
      <c r="H205" s="195"/>
      <c r="I205" s="109" t="s">
        <v>1289</v>
      </c>
      <c r="J205" s="120"/>
      <c r="K205" s="120"/>
      <c r="L205" s="23"/>
      <c r="M205" s="22">
        <v>1.99</v>
      </c>
      <c r="N205" s="7"/>
      <c r="O205" s="24" t="s">
        <v>144</v>
      </c>
    </row>
    <row r="206" spans="2:15" s="5" customFormat="1" ht="12.75">
      <c r="B206" s="195"/>
      <c r="C206" s="195"/>
      <c r="D206" s="195"/>
      <c r="E206" s="732"/>
      <c r="F206" s="198"/>
      <c r="G206" s="195"/>
      <c r="H206" s="195"/>
      <c r="I206" s="106"/>
      <c r="J206" s="102"/>
      <c r="K206" s="4"/>
      <c r="L206" s="4"/>
      <c r="M206" s="4"/>
      <c r="O206" s="102"/>
    </row>
    <row r="207" spans="2:15" s="5" customFormat="1" ht="15.75">
      <c r="B207" s="195"/>
      <c r="C207" s="195"/>
      <c r="D207" s="195"/>
      <c r="E207" s="732"/>
      <c r="F207" s="198"/>
      <c r="G207" s="195"/>
      <c r="H207" s="195"/>
      <c r="I207" s="178" t="s">
        <v>500</v>
      </c>
      <c r="J207" s="102"/>
      <c r="K207" s="4"/>
      <c r="L207" s="4"/>
      <c r="M207" s="4"/>
      <c r="O207" s="102"/>
    </row>
    <row r="208" spans="2:15" s="321" customFormat="1" ht="12.75">
      <c r="B208" s="319"/>
      <c r="C208" s="319"/>
      <c r="D208" s="319"/>
      <c r="E208" s="735"/>
      <c r="F208" s="483"/>
      <c r="G208" s="319"/>
      <c r="H208" s="319"/>
      <c r="I208" s="718" t="s">
        <v>2344</v>
      </c>
      <c r="J208" s="650"/>
      <c r="K208" s="320"/>
      <c r="L208" s="320"/>
      <c r="M208" s="320">
        <v>1.49</v>
      </c>
      <c r="O208" s="650" t="s">
        <v>173</v>
      </c>
    </row>
    <row r="209" spans="2:16" s="321" customFormat="1" ht="12.75">
      <c r="B209" s="319"/>
      <c r="C209" s="319"/>
      <c r="D209" s="319"/>
      <c r="E209" s="735"/>
      <c r="F209" s="483"/>
      <c r="G209" s="319"/>
      <c r="H209" s="319"/>
      <c r="I209" s="635" t="s">
        <v>2518</v>
      </c>
      <c r="J209" s="650"/>
      <c r="K209" s="320"/>
      <c r="L209" s="320"/>
      <c r="M209" s="157">
        <v>1.35</v>
      </c>
      <c r="N209" s="607" t="s">
        <v>2697</v>
      </c>
      <c r="O209" s="650" t="s">
        <v>2455</v>
      </c>
      <c r="P209" s="607" t="s">
        <v>638</v>
      </c>
    </row>
    <row r="210" spans="2:15" s="321" customFormat="1" ht="12.75">
      <c r="B210" s="319"/>
      <c r="C210" s="319"/>
      <c r="D210" s="319"/>
      <c r="E210" s="735"/>
      <c r="F210" s="483"/>
      <c r="G210" s="319"/>
      <c r="H210" s="319"/>
      <c r="I210" s="718" t="s">
        <v>2518</v>
      </c>
      <c r="J210" s="650"/>
      <c r="K210" s="320"/>
      <c r="L210" s="320"/>
      <c r="M210" s="320">
        <v>1.49</v>
      </c>
      <c r="O210" s="650" t="s">
        <v>173</v>
      </c>
    </row>
    <row r="211" spans="2:15" s="321" customFormat="1" ht="12.75">
      <c r="B211" s="319"/>
      <c r="C211" s="319"/>
      <c r="D211" s="319"/>
      <c r="E211" s="735"/>
      <c r="F211" s="483"/>
      <c r="G211" s="319"/>
      <c r="H211" s="319"/>
      <c r="I211" s="432" t="s">
        <v>1187</v>
      </c>
      <c r="J211" s="1114"/>
      <c r="K211" s="404"/>
      <c r="L211" s="404"/>
      <c r="M211" s="404">
        <v>1.99</v>
      </c>
      <c r="O211" s="650" t="s">
        <v>1286</v>
      </c>
    </row>
    <row r="212" spans="2:15" s="5" customFormat="1" ht="12.75">
      <c r="B212" s="195"/>
      <c r="C212" s="195"/>
      <c r="D212" s="195"/>
      <c r="E212" s="732"/>
      <c r="F212" s="198"/>
      <c r="G212" s="195"/>
      <c r="H212" s="195"/>
      <c r="I212" s="432" t="s">
        <v>155</v>
      </c>
      <c r="J212" s="1114">
        <v>1.69</v>
      </c>
      <c r="K212" s="404">
        <f>J212*0.99</f>
        <v>1.6731</v>
      </c>
      <c r="L212" s="404"/>
      <c r="M212" s="404">
        <f>K212</f>
        <v>1.6731</v>
      </c>
      <c r="O212" s="102" t="s">
        <v>2054</v>
      </c>
    </row>
    <row r="213" spans="2:15" s="5" customFormat="1" ht="12.75">
      <c r="B213" s="195">
        <v>1.5</v>
      </c>
      <c r="C213" s="195">
        <v>8.4</v>
      </c>
      <c r="D213" s="195">
        <v>0.1</v>
      </c>
      <c r="E213" s="732"/>
      <c r="F213" s="198">
        <v>192</v>
      </c>
      <c r="G213" s="195">
        <f>B213/F213*1000</f>
        <v>7.8125</v>
      </c>
      <c r="H213" s="195"/>
      <c r="I213" s="1139" t="s">
        <v>593</v>
      </c>
      <c r="J213" s="923"/>
      <c r="K213" s="1140">
        <v>0.99</v>
      </c>
      <c r="L213" s="1142">
        <v>500</v>
      </c>
      <c r="M213" s="1141">
        <f>K213/L213*1000</f>
        <v>1.98</v>
      </c>
      <c r="O213" s="102" t="s">
        <v>157</v>
      </c>
    </row>
    <row r="214" spans="2:15" s="5" customFormat="1" ht="12.75">
      <c r="B214" s="195"/>
      <c r="C214" s="195"/>
      <c r="D214" s="195"/>
      <c r="E214" s="732"/>
      <c r="F214" s="198"/>
      <c r="G214" s="195"/>
      <c r="H214" s="195"/>
      <c r="I214" s="31"/>
      <c r="J214" s="102"/>
      <c r="K214" s="4"/>
      <c r="L214" s="4"/>
      <c r="M214" s="4"/>
      <c r="O214" s="102"/>
    </row>
    <row r="215" spans="2:15" s="5" customFormat="1" ht="20.25">
      <c r="B215" s="195"/>
      <c r="C215" s="195"/>
      <c r="D215" s="195"/>
      <c r="E215" s="732"/>
      <c r="F215" s="198"/>
      <c r="G215" s="195"/>
      <c r="H215" s="195"/>
      <c r="I215" s="655" t="s">
        <v>2569</v>
      </c>
      <c r="J215" s="102"/>
      <c r="K215" s="4"/>
      <c r="L215"/>
      <c r="M215" s="4"/>
      <c r="O215" s="102"/>
    </row>
    <row r="216" spans="2:15" s="5" customFormat="1" ht="15.75">
      <c r="B216" s="195"/>
      <c r="C216" s="195"/>
      <c r="D216" s="195"/>
      <c r="E216" s="732"/>
      <c r="F216" s="198"/>
      <c r="G216" s="195"/>
      <c r="H216" s="195"/>
      <c r="I216" s="248" t="s">
        <v>2558</v>
      </c>
      <c r="J216" s="102"/>
      <c r="K216" s="4"/>
      <c r="L216"/>
      <c r="M216" s="4"/>
      <c r="O216" s="102"/>
    </row>
    <row r="217" spans="2:15" s="5" customFormat="1" ht="12.75">
      <c r="B217" s="195"/>
      <c r="C217" s="195"/>
      <c r="D217" s="195"/>
      <c r="E217" s="732"/>
      <c r="F217" s="198"/>
      <c r="G217" s="195"/>
      <c r="H217" s="195"/>
      <c r="I217" s="97" t="s">
        <v>1524</v>
      </c>
      <c r="J217" s="61"/>
      <c r="K217" s="61"/>
      <c r="L217" s="42"/>
      <c r="M217" s="41">
        <v>1.29</v>
      </c>
      <c r="N217" s="33"/>
      <c r="O217" s="24" t="s">
        <v>3017</v>
      </c>
    </row>
    <row r="218" spans="2:15" s="5" customFormat="1" ht="12.75">
      <c r="B218" s="195"/>
      <c r="C218" s="195"/>
      <c r="D218" s="195"/>
      <c r="E218" s="732"/>
      <c r="F218" s="198"/>
      <c r="G218" s="195"/>
      <c r="H218" s="195"/>
      <c r="I218" s="15" t="s">
        <v>997</v>
      </c>
      <c r="J218" s="55"/>
      <c r="K218" s="55"/>
      <c r="L218" s="7"/>
      <c r="M218" s="16">
        <v>0.99</v>
      </c>
      <c r="N218" s="33"/>
      <c r="O218" s="24" t="s">
        <v>2164</v>
      </c>
    </row>
    <row r="219" spans="2:15" s="5" customFormat="1" ht="12.75">
      <c r="B219" s="195"/>
      <c r="C219" s="195"/>
      <c r="D219" s="195"/>
      <c r="E219" s="732"/>
      <c r="F219" s="198"/>
      <c r="G219" s="195"/>
      <c r="H219" s="195"/>
      <c r="I219" s="15" t="s">
        <v>2946</v>
      </c>
      <c r="J219" s="55"/>
      <c r="K219" s="55"/>
      <c r="L219" s="7"/>
      <c r="M219" s="16">
        <v>1.59</v>
      </c>
      <c r="N219" s="33"/>
      <c r="O219" s="24" t="s">
        <v>2768</v>
      </c>
    </row>
    <row r="220" spans="2:15" s="5" customFormat="1" ht="12.75">
      <c r="B220" s="195"/>
      <c r="C220" s="195"/>
      <c r="D220" s="195"/>
      <c r="E220" s="732"/>
      <c r="F220" s="198"/>
      <c r="G220" s="195"/>
      <c r="H220" s="195"/>
      <c r="I220" s="6" t="s">
        <v>2924</v>
      </c>
      <c r="J220" s="55"/>
      <c r="K220" s="55"/>
      <c r="L220" s="7"/>
      <c r="M220" s="16">
        <v>1.59</v>
      </c>
      <c r="N220" s="33"/>
      <c r="O220" s="24" t="s">
        <v>2768</v>
      </c>
    </row>
    <row r="221" spans="2:15" s="5" customFormat="1" ht="12.75">
      <c r="B221" s="195"/>
      <c r="C221" s="195"/>
      <c r="D221" s="195"/>
      <c r="E221" s="732"/>
      <c r="F221" s="198"/>
      <c r="G221" s="195"/>
      <c r="H221" s="195"/>
      <c r="I221" s="147" t="s">
        <v>1348</v>
      </c>
      <c r="J221" s="162"/>
      <c r="K221" s="162">
        <v>1.49</v>
      </c>
      <c r="L221" s="149">
        <v>2200</v>
      </c>
      <c r="M221" s="148">
        <f>K221/L221*1000</f>
        <v>0.6772727272727274</v>
      </c>
      <c r="N221" s="33"/>
      <c r="O221" s="24" t="s">
        <v>3017</v>
      </c>
    </row>
    <row r="222" spans="2:15" s="5" customFormat="1" ht="12.75">
      <c r="B222" s="195"/>
      <c r="C222" s="195"/>
      <c r="D222" s="195"/>
      <c r="E222" s="732"/>
      <c r="F222" s="198"/>
      <c r="G222" s="195"/>
      <c r="H222" s="195"/>
      <c r="I222" s="147" t="s">
        <v>2785</v>
      </c>
      <c r="J222" s="162"/>
      <c r="K222" s="162"/>
      <c r="L222" s="149"/>
      <c r="M222" s="148">
        <v>1.49</v>
      </c>
      <c r="N222" s="33"/>
      <c r="O222" s="24" t="s">
        <v>233</v>
      </c>
    </row>
    <row r="223" spans="2:15" s="5" customFormat="1" ht="12.75">
      <c r="B223" s="195"/>
      <c r="C223" s="195"/>
      <c r="D223" s="195"/>
      <c r="E223" s="732"/>
      <c r="F223" s="198"/>
      <c r="G223" s="195"/>
      <c r="H223" s="195"/>
      <c r="I223" s="71" t="s">
        <v>1187</v>
      </c>
      <c r="J223" s="651"/>
      <c r="K223" s="158"/>
      <c r="L223" s="117"/>
      <c r="M223" s="158">
        <v>1.19</v>
      </c>
      <c r="O223" s="650" t="s">
        <v>2632</v>
      </c>
    </row>
    <row r="224" spans="2:15" s="5" customFormat="1" ht="12.75">
      <c r="B224" s="195"/>
      <c r="C224" s="195"/>
      <c r="D224" s="195"/>
      <c r="E224" s="732"/>
      <c r="F224" s="198"/>
      <c r="G224" s="195"/>
      <c r="H224" s="195"/>
      <c r="I224" s="71" t="s">
        <v>1572</v>
      </c>
      <c r="J224" s="428"/>
      <c r="K224" s="96">
        <v>1.99</v>
      </c>
      <c r="L224" s="30">
        <v>2000</v>
      </c>
      <c r="M224" s="29">
        <f>K224/L224*1000</f>
        <v>0.995</v>
      </c>
      <c r="O224" s="102" t="s">
        <v>2542</v>
      </c>
    </row>
    <row r="225" spans="2:15" s="5" customFormat="1" ht="12.75">
      <c r="B225" s="195"/>
      <c r="C225" s="195"/>
      <c r="D225" s="195"/>
      <c r="E225" s="732"/>
      <c r="F225" s="198"/>
      <c r="G225" s="195"/>
      <c r="H225" s="195"/>
      <c r="I225" s="28" t="s">
        <v>1183</v>
      </c>
      <c r="J225" s="428"/>
      <c r="K225" s="96">
        <v>2.99</v>
      </c>
      <c r="L225" s="30">
        <v>2170</v>
      </c>
      <c r="M225" s="29">
        <f>K225/L225*1000</f>
        <v>1.3778801843317974</v>
      </c>
      <c r="O225" s="102" t="s">
        <v>1762</v>
      </c>
    </row>
    <row r="226" spans="2:15" s="5" customFormat="1" ht="12.75">
      <c r="B226" s="195"/>
      <c r="C226" s="195"/>
      <c r="D226" s="195"/>
      <c r="E226" s="732"/>
      <c r="F226" s="198"/>
      <c r="G226" s="195"/>
      <c r="H226" s="195"/>
      <c r="I226" s="28" t="s">
        <v>522</v>
      </c>
      <c r="J226" s="428"/>
      <c r="K226" s="96">
        <v>2.99</v>
      </c>
      <c r="L226" s="30">
        <v>1730</v>
      </c>
      <c r="M226" s="29">
        <f>K226/L226*1000</f>
        <v>1.7283236994219653</v>
      </c>
      <c r="O226" s="102" t="s">
        <v>12</v>
      </c>
    </row>
    <row r="227" spans="2:15" s="5" customFormat="1" ht="12.75">
      <c r="B227" s="195"/>
      <c r="C227" s="195"/>
      <c r="D227" s="195"/>
      <c r="E227" s="732"/>
      <c r="F227" s="198"/>
      <c r="G227" s="195"/>
      <c r="H227" s="195"/>
      <c r="I227" s="31"/>
      <c r="J227" s="102"/>
      <c r="K227" s="4"/>
      <c r="L227"/>
      <c r="M227" s="4"/>
      <c r="O227" s="102"/>
    </row>
    <row r="228" spans="2:15" s="5" customFormat="1" ht="15.75">
      <c r="B228" s="195"/>
      <c r="C228" s="195"/>
      <c r="D228" s="195"/>
      <c r="E228" s="732"/>
      <c r="F228" s="198"/>
      <c r="G228" s="195"/>
      <c r="H228" s="195"/>
      <c r="I228" s="248" t="s">
        <v>1969</v>
      </c>
      <c r="J228" s="102"/>
      <c r="K228" s="4"/>
      <c r="L228"/>
      <c r="M228" s="4"/>
      <c r="O228" s="102"/>
    </row>
    <row r="229" spans="2:15" s="5" customFormat="1" ht="12.75">
      <c r="B229" s="195"/>
      <c r="C229" s="195"/>
      <c r="D229" s="195"/>
      <c r="E229" s="732"/>
      <c r="F229" s="198"/>
      <c r="G229" s="195"/>
      <c r="H229" s="195"/>
      <c r="I229" s="86" t="s">
        <v>2581</v>
      </c>
      <c r="J229" s="842"/>
      <c r="K229" s="282"/>
      <c r="L229" s="99"/>
      <c r="M229" s="282">
        <v>7.99</v>
      </c>
      <c r="N229" s="1304" t="s">
        <v>1864</v>
      </c>
      <c r="O229" s="650" t="s">
        <v>2164</v>
      </c>
    </row>
    <row r="230" spans="2:15" s="5" customFormat="1" ht="12.75">
      <c r="B230" s="195"/>
      <c r="C230" s="195"/>
      <c r="D230" s="195"/>
      <c r="E230" s="732"/>
      <c r="F230" s="198"/>
      <c r="G230" s="195"/>
      <c r="H230" s="195"/>
      <c r="I230" s="15" t="s">
        <v>1401</v>
      </c>
      <c r="J230" s="152"/>
      <c r="K230" s="129">
        <v>1.99</v>
      </c>
      <c r="L230" s="128">
        <v>1.64</v>
      </c>
      <c r="M230" s="129">
        <f>K230/L230</f>
        <v>1.2134146341463414</v>
      </c>
      <c r="N230" s="33"/>
      <c r="O230" s="650" t="s">
        <v>2164</v>
      </c>
    </row>
    <row r="231" spans="2:15" s="5" customFormat="1" ht="12.75">
      <c r="B231" s="195"/>
      <c r="C231" s="195"/>
      <c r="D231" s="195"/>
      <c r="E231" s="732"/>
      <c r="F231" s="198"/>
      <c r="G231" s="195"/>
      <c r="H231" s="195"/>
      <c r="I231" s="15" t="s">
        <v>1401</v>
      </c>
      <c r="J231" s="152"/>
      <c r="K231" s="129">
        <v>1.99</v>
      </c>
      <c r="L231" s="128">
        <v>1.76</v>
      </c>
      <c r="M231" s="129">
        <f>K231/L231</f>
        <v>1.1306818181818181</v>
      </c>
      <c r="N231" s="33"/>
      <c r="O231" s="650" t="s">
        <v>2164</v>
      </c>
    </row>
    <row r="232" spans="2:15" s="5" customFormat="1" ht="12.75">
      <c r="B232" s="195"/>
      <c r="C232" s="195"/>
      <c r="D232" s="195"/>
      <c r="E232" s="732"/>
      <c r="F232" s="198"/>
      <c r="G232" s="195"/>
      <c r="H232" s="195"/>
      <c r="I232" s="15" t="s">
        <v>2947</v>
      </c>
      <c r="J232" s="152"/>
      <c r="K232" s="152"/>
      <c r="L232" s="128"/>
      <c r="M232" s="129">
        <v>1.99</v>
      </c>
      <c r="N232" s="33"/>
      <c r="O232" s="24" t="s">
        <v>2768</v>
      </c>
    </row>
    <row r="233" spans="2:15" s="5" customFormat="1" ht="12.75">
      <c r="B233" s="195"/>
      <c r="C233" s="195"/>
      <c r="D233" s="195"/>
      <c r="E233" s="732"/>
      <c r="F233" s="198"/>
      <c r="G233" s="195"/>
      <c r="H233" s="195"/>
      <c r="I233" s="147" t="s">
        <v>636</v>
      </c>
      <c r="J233" s="162"/>
      <c r="K233" s="162"/>
      <c r="L233" s="149"/>
      <c r="M233" s="148">
        <v>1.99</v>
      </c>
      <c r="N233" s="33"/>
      <c r="O233" s="24" t="s">
        <v>928</v>
      </c>
    </row>
    <row r="234" spans="2:15" s="5" customFormat="1" ht="12.75">
      <c r="B234" s="195"/>
      <c r="C234" s="195"/>
      <c r="D234" s="195"/>
      <c r="E234" s="732"/>
      <c r="F234" s="198"/>
      <c r="G234" s="195"/>
      <c r="H234" s="195"/>
      <c r="I234" s="147" t="s">
        <v>250</v>
      </c>
      <c r="J234" s="162"/>
      <c r="K234" s="162"/>
      <c r="L234" s="149"/>
      <c r="M234" s="148">
        <v>0.79</v>
      </c>
      <c r="N234" s="33" t="s">
        <v>1537</v>
      </c>
      <c r="O234" s="24" t="s">
        <v>928</v>
      </c>
    </row>
    <row r="235" spans="2:15" s="5" customFormat="1" ht="12.75">
      <c r="B235" s="195"/>
      <c r="C235" s="195"/>
      <c r="D235" s="195"/>
      <c r="E235" s="732"/>
      <c r="F235" s="198"/>
      <c r="G235" s="195"/>
      <c r="H235" s="195"/>
      <c r="I235" s="147" t="s">
        <v>250</v>
      </c>
      <c r="J235" s="162"/>
      <c r="K235" s="162"/>
      <c r="L235" s="149"/>
      <c r="M235" s="148">
        <v>1.49</v>
      </c>
      <c r="N235" s="33"/>
      <c r="O235" s="24" t="s">
        <v>2256</v>
      </c>
    </row>
    <row r="236" spans="2:15" s="5" customFormat="1" ht="12.75">
      <c r="B236" s="195"/>
      <c r="C236" s="195"/>
      <c r="D236" s="195"/>
      <c r="E236" s="732"/>
      <c r="F236" s="198"/>
      <c r="G236" s="195"/>
      <c r="H236" s="195"/>
      <c r="I236" s="147" t="s">
        <v>723</v>
      </c>
      <c r="J236" s="162"/>
      <c r="K236" s="162"/>
      <c r="L236" s="149"/>
      <c r="M236" s="148">
        <v>1.19</v>
      </c>
      <c r="N236" s="33"/>
      <c r="O236" s="24" t="s">
        <v>2256</v>
      </c>
    </row>
    <row r="237" spans="2:15" s="5" customFormat="1" ht="12.75">
      <c r="B237" s="195"/>
      <c r="C237" s="195"/>
      <c r="D237" s="195"/>
      <c r="E237" s="732"/>
      <c r="F237" s="198"/>
      <c r="G237" s="195"/>
      <c r="H237" s="195"/>
      <c r="I237" s="147" t="s">
        <v>242</v>
      </c>
      <c r="J237" s="162"/>
      <c r="K237" s="162">
        <v>1.99</v>
      </c>
      <c r="L237" s="149">
        <v>1.93</v>
      </c>
      <c r="M237" s="148">
        <f>K237/L237</f>
        <v>1.0310880829015545</v>
      </c>
      <c r="N237" s="33"/>
      <c r="O237" s="24" t="s">
        <v>2721</v>
      </c>
    </row>
    <row r="238" spans="2:15" s="5" customFormat="1" ht="12.75">
      <c r="B238" s="195"/>
      <c r="C238" s="195"/>
      <c r="D238" s="195"/>
      <c r="E238" s="732"/>
      <c r="F238" s="198"/>
      <c r="G238" s="195"/>
      <c r="H238" s="195"/>
      <c r="I238" s="147" t="s">
        <v>2275</v>
      </c>
      <c r="J238" s="162"/>
      <c r="K238" s="162">
        <v>1.49</v>
      </c>
      <c r="L238" s="149">
        <v>1.32</v>
      </c>
      <c r="M238" s="721">
        <f>K238/L238</f>
        <v>1.1287878787878787</v>
      </c>
      <c r="N238" s="426"/>
      <c r="O238" s="448" t="s">
        <v>928</v>
      </c>
    </row>
    <row r="239" spans="2:15" s="5" customFormat="1" ht="12.75">
      <c r="B239" s="195"/>
      <c r="C239" s="195"/>
      <c r="D239" s="195"/>
      <c r="E239" s="732"/>
      <c r="F239" s="198"/>
      <c r="G239" s="195"/>
      <c r="H239" s="195"/>
      <c r="I239" s="147" t="s">
        <v>1546</v>
      </c>
      <c r="J239" s="162"/>
      <c r="K239" s="162">
        <v>2.49</v>
      </c>
      <c r="L239" s="149">
        <v>1.88</v>
      </c>
      <c r="M239" s="148">
        <f>K239/L239</f>
        <v>1.3244680851063833</v>
      </c>
      <c r="N239" s="426"/>
      <c r="O239" s="448" t="s">
        <v>2256</v>
      </c>
    </row>
    <row r="240" spans="2:15" s="5" customFormat="1" ht="12.75">
      <c r="B240" s="195"/>
      <c r="C240" s="195"/>
      <c r="D240" s="195"/>
      <c r="E240" s="732"/>
      <c r="F240" s="198"/>
      <c r="G240" s="195"/>
      <c r="H240" s="195"/>
      <c r="I240" s="147" t="s">
        <v>1546</v>
      </c>
      <c r="J240" s="162"/>
      <c r="K240" s="162">
        <v>2.49</v>
      </c>
      <c r="L240" s="149">
        <v>1.67</v>
      </c>
      <c r="M240" s="148">
        <f>K240/L240</f>
        <v>1.4910179640718564</v>
      </c>
      <c r="N240" s="426"/>
      <c r="O240" s="448" t="s">
        <v>928</v>
      </c>
    </row>
    <row r="241" spans="2:15" s="5" customFormat="1" ht="12.75">
      <c r="B241" s="195"/>
      <c r="C241" s="195"/>
      <c r="D241" s="195"/>
      <c r="E241" s="732"/>
      <c r="F241" s="198"/>
      <c r="G241" s="195"/>
      <c r="H241" s="195"/>
      <c r="I241" s="147" t="s">
        <v>2303</v>
      </c>
      <c r="J241" s="684"/>
      <c r="K241" s="684"/>
      <c r="L241" s="680"/>
      <c r="M241" s="721">
        <v>1.19</v>
      </c>
      <c r="N241" s="33"/>
      <c r="O241" s="24" t="s">
        <v>2256</v>
      </c>
    </row>
    <row r="242" spans="2:15" s="5" customFormat="1" ht="12.75">
      <c r="B242" s="195"/>
      <c r="C242" s="195"/>
      <c r="D242" s="195"/>
      <c r="E242" s="732"/>
      <c r="F242" s="198"/>
      <c r="G242" s="195"/>
      <c r="H242" s="195"/>
      <c r="I242" s="147" t="s">
        <v>2303</v>
      </c>
      <c r="J242" s="684"/>
      <c r="K242" s="684"/>
      <c r="L242" s="680"/>
      <c r="M242" s="721">
        <v>1.29</v>
      </c>
      <c r="N242" s="33"/>
      <c r="O242" s="24" t="s">
        <v>776</v>
      </c>
    </row>
    <row r="243" spans="2:15" s="5" customFormat="1" ht="12.75">
      <c r="B243" s="195"/>
      <c r="C243" s="195"/>
      <c r="D243" s="195"/>
      <c r="E243" s="732"/>
      <c r="F243" s="198"/>
      <c r="G243" s="195"/>
      <c r="H243" s="195"/>
      <c r="I243" s="59"/>
      <c r="J243" s="429"/>
      <c r="K243" s="61"/>
      <c r="L243" s="20"/>
      <c r="M243" s="276"/>
      <c r="O243" s="102"/>
    </row>
    <row r="244" spans="2:15" s="5" customFormat="1" ht="15.75">
      <c r="B244" s="195"/>
      <c r="C244" s="195"/>
      <c r="D244" s="195"/>
      <c r="E244" s="732"/>
      <c r="F244" s="198"/>
      <c r="G244" s="195"/>
      <c r="H244" s="195"/>
      <c r="I244" s="248" t="s">
        <v>1185</v>
      </c>
      <c r="J244" s="102"/>
      <c r="K244" s="4"/>
      <c r="L244"/>
      <c r="M244" s="4"/>
      <c r="O244" s="102"/>
    </row>
    <row r="245" spans="2:15" s="5" customFormat="1" ht="12.75">
      <c r="B245" s="195"/>
      <c r="C245" s="195"/>
      <c r="D245" s="195"/>
      <c r="E245" s="732"/>
      <c r="F245" s="198"/>
      <c r="G245" s="195"/>
      <c r="H245" s="195"/>
      <c r="I245" s="40" t="s">
        <v>1026</v>
      </c>
      <c r="J245" s="102"/>
      <c r="K245" s="4">
        <v>2.49</v>
      </c>
      <c r="L245">
        <v>1.01</v>
      </c>
      <c r="M245" s="32">
        <f>K245/L245</f>
        <v>2.4653465346534653</v>
      </c>
      <c r="N245" s="346"/>
      <c r="O245" s="102" t="s">
        <v>289</v>
      </c>
    </row>
    <row r="246" spans="2:15" s="5" customFormat="1" ht="15.75">
      <c r="B246" s="195"/>
      <c r="C246" s="195"/>
      <c r="D246" s="195"/>
      <c r="E246" s="732"/>
      <c r="F246" s="198"/>
      <c r="G246" s="195"/>
      <c r="H246" s="195"/>
      <c r="I246" s="248" t="s">
        <v>2108</v>
      </c>
      <c r="J246" s="102"/>
      <c r="K246" s="4"/>
      <c r="L246"/>
      <c r="M246" s="4"/>
      <c r="O246" s="102"/>
    </row>
    <row r="247" spans="2:15" s="348" customFormat="1" ht="12.75">
      <c r="B247" s="611"/>
      <c r="C247" s="611"/>
      <c r="D247" s="611"/>
      <c r="E247" s="751"/>
      <c r="F247" s="612"/>
      <c r="G247" s="611"/>
      <c r="H247" s="611"/>
      <c r="I247" s="15" t="s">
        <v>1138</v>
      </c>
      <c r="J247" s="1228"/>
      <c r="K247" s="129"/>
      <c r="L247" s="128"/>
      <c r="M247" s="129">
        <v>1.29</v>
      </c>
      <c r="N247" s="607" t="s">
        <v>1362</v>
      </c>
      <c r="O247" s="650" t="s">
        <v>458</v>
      </c>
    </row>
    <row r="248" spans="2:15" s="5" customFormat="1" ht="12.75">
      <c r="B248" s="195"/>
      <c r="C248" s="195"/>
      <c r="D248" s="195"/>
      <c r="E248" s="732"/>
      <c r="F248" s="198"/>
      <c r="G248" s="195"/>
      <c r="H248" s="195"/>
      <c r="I248" s="40" t="s">
        <v>154</v>
      </c>
      <c r="J248" s="102"/>
      <c r="K248" s="4">
        <v>2.49</v>
      </c>
      <c r="L248">
        <v>1.01</v>
      </c>
      <c r="M248" s="32">
        <f>K248/L248</f>
        <v>2.4653465346534653</v>
      </c>
      <c r="N248" s="346"/>
      <c r="O248" s="102" t="s">
        <v>289</v>
      </c>
    </row>
    <row r="249" spans="2:15" s="5" customFormat="1" ht="12.75">
      <c r="B249" s="195"/>
      <c r="C249" s="195"/>
      <c r="D249" s="195"/>
      <c r="E249" s="732"/>
      <c r="F249" s="198"/>
      <c r="G249" s="195"/>
      <c r="H249" s="195"/>
      <c r="I249" s="205" t="s">
        <v>375</v>
      </c>
      <c r="J249" s="102"/>
      <c r="K249" s="4"/>
      <c r="L249"/>
      <c r="M249" s="320">
        <v>2.99</v>
      </c>
      <c r="N249" s="346"/>
      <c r="O249" s="102" t="s">
        <v>233</v>
      </c>
    </row>
    <row r="250" spans="2:15" s="5" customFormat="1" ht="12.75">
      <c r="B250" s="195"/>
      <c r="C250" s="195"/>
      <c r="D250" s="195"/>
      <c r="E250" s="732"/>
      <c r="F250" s="198"/>
      <c r="G250" s="195"/>
      <c r="H250" s="195"/>
      <c r="I250" s="28" t="s">
        <v>823</v>
      </c>
      <c r="J250" s="428"/>
      <c r="K250" s="96"/>
      <c r="L250" s="30"/>
      <c r="M250" s="96">
        <v>1.69</v>
      </c>
      <c r="N250" s="346"/>
      <c r="O250" s="102" t="s">
        <v>233</v>
      </c>
    </row>
    <row r="251" spans="2:15" s="5" customFormat="1" ht="20.25">
      <c r="B251" s="195"/>
      <c r="C251" s="195"/>
      <c r="D251" s="195"/>
      <c r="E251" s="732"/>
      <c r="F251" s="198"/>
      <c r="G251" s="195"/>
      <c r="H251" s="195"/>
      <c r="I251" s="655"/>
      <c r="J251" s="102"/>
      <c r="K251" s="4"/>
      <c r="L251"/>
      <c r="M251" s="4"/>
      <c r="O251" s="102"/>
    </row>
    <row r="252" spans="2:15" s="5" customFormat="1" ht="15.75">
      <c r="B252" s="195"/>
      <c r="C252" s="195"/>
      <c r="D252" s="195"/>
      <c r="E252" s="732"/>
      <c r="F252" s="198"/>
      <c r="G252" s="195"/>
      <c r="H252" s="195"/>
      <c r="I252" s="248" t="s">
        <v>23</v>
      </c>
      <c r="J252" s="102"/>
      <c r="K252" s="4"/>
      <c r="L252"/>
      <c r="M252" s="347"/>
      <c r="N252" s="346"/>
      <c r="O252" s="102"/>
    </row>
    <row r="253" spans="2:15" s="348" customFormat="1" ht="12.75">
      <c r="B253" s="611"/>
      <c r="C253" s="611"/>
      <c r="D253" s="611"/>
      <c r="E253" s="751"/>
      <c r="F253" s="612"/>
      <c r="G253" s="611"/>
      <c r="H253" s="611"/>
      <c r="I253" s="15" t="s">
        <v>2782</v>
      </c>
      <c r="J253" s="1228"/>
      <c r="K253" s="129">
        <v>0.79</v>
      </c>
      <c r="L253" s="128">
        <v>2</v>
      </c>
      <c r="M253" s="129">
        <f>K253/L253</f>
        <v>0.395</v>
      </c>
      <c r="N253" s="1215"/>
      <c r="O253" s="1214" t="s">
        <v>637</v>
      </c>
    </row>
    <row r="254" spans="2:15" s="348" customFormat="1" ht="12.75">
      <c r="B254" s="611"/>
      <c r="C254" s="611"/>
      <c r="D254" s="611"/>
      <c r="E254" s="751"/>
      <c r="F254" s="612"/>
      <c r="G254" s="611"/>
      <c r="H254" s="611"/>
      <c r="I254" s="15" t="s">
        <v>2464</v>
      </c>
      <c r="J254" s="1228"/>
      <c r="K254" s="129"/>
      <c r="L254" s="128"/>
      <c r="M254" s="129">
        <v>0.55</v>
      </c>
      <c r="N254" s="607" t="s">
        <v>1362</v>
      </c>
      <c r="O254" s="650" t="s">
        <v>2455</v>
      </c>
    </row>
    <row r="255" spans="2:15" s="348" customFormat="1" ht="12.75">
      <c r="B255" s="611"/>
      <c r="C255" s="611"/>
      <c r="D255" s="611"/>
      <c r="E255" s="751"/>
      <c r="F255" s="612"/>
      <c r="G255" s="611"/>
      <c r="H255" s="611"/>
      <c r="I255" s="378" t="s">
        <v>2464</v>
      </c>
      <c r="J255" s="1214"/>
      <c r="L255" s="349"/>
      <c r="M255" s="348">
        <v>0.79</v>
      </c>
      <c r="N255" s="1215"/>
      <c r="O255" s="1214" t="s">
        <v>2455</v>
      </c>
    </row>
    <row r="256" spans="2:15" s="348" customFormat="1" ht="12.75">
      <c r="B256" s="611"/>
      <c r="C256" s="611"/>
      <c r="D256" s="611"/>
      <c r="E256" s="751"/>
      <c r="F256" s="612"/>
      <c r="G256" s="611"/>
      <c r="H256" s="611"/>
      <c r="I256" s="378" t="s">
        <v>2779</v>
      </c>
      <c r="J256" s="1214"/>
      <c r="L256" s="349"/>
      <c r="M256" s="348">
        <v>0.79</v>
      </c>
      <c r="N256" s="1215"/>
      <c r="O256" s="650" t="s">
        <v>637</v>
      </c>
    </row>
    <row r="257" spans="2:15" s="5" customFormat="1" ht="12.75">
      <c r="B257" s="195"/>
      <c r="C257" s="195"/>
      <c r="D257" s="195"/>
      <c r="E257" s="732"/>
      <c r="F257" s="198"/>
      <c r="G257" s="195"/>
      <c r="H257" s="195"/>
      <c r="I257" s="40" t="s">
        <v>24</v>
      </c>
      <c r="J257" s="429"/>
      <c r="K257" s="32">
        <v>1.59</v>
      </c>
      <c r="L257" s="42">
        <v>0.75</v>
      </c>
      <c r="M257" s="32">
        <f>K257/L257</f>
        <v>2.12</v>
      </c>
      <c r="N257" s="656"/>
      <c r="O257" s="429" t="s">
        <v>754</v>
      </c>
    </row>
    <row r="258" spans="2:15" s="5" customFormat="1" ht="20.25">
      <c r="B258" s="195"/>
      <c r="C258" s="195"/>
      <c r="D258" s="195"/>
      <c r="E258" s="732"/>
      <c r="F258" s="198"/>
      <c r="G258" s="195"/>
      <c r="H258" s="195"/>
      <c r="I258" s="655"/>
      <c r="J258" s="102"/>
      <c r="K258" s="4"/>
      <c r="L258"/>
      <c r="M258" s="4"/>
      <c r="O258" s="102"/>
    </row>
    <row r="259" spans="2:15" s="5" customFormat="1" ht="15.75">
      <c r="B259" s="195"/>
      <c r="C259" s="195"/>
      <c r="D259" s="195"/>
      <c r="E259" s="732"/>
      <c r="F259" s="198"/>
      <c r="G259" s="195"/>
      <c r="H259" s="195"/>
      <c r="I259" s="248" t="s">
        <v>2107</v>
      </c>
      <c r="J259" s="102"/>
      <c r="K259" s="4"/>
      <c r="L259"/>
      <c r="M259" s="347"/>
      <c r="N259" s="346"/>
      <c r="O259" s="102"/>
    </row>
    <row r="260" spans="2:15" s="5" customFormat="1" ht="12.75">
      <c r="B260" s="195"/>
      <c r="C260" s="195"/>
      <c r="D260" s="195"/>
      <c r="E260" s="732"/>
      <c r="F260" s="198"/>
      <c r="G260" s="195"/>
      <c r="H260" s="195"/>
      <c r="I260" s="40" t="s">
        <v>2577</v>
      </c>
      <c r="J260" s="429"/>
      <c r="K260" s="61">
        <v>1.99</v>
      </c>
      <c r="L260" s="42">
        <v>0.4</v>
      </c>
      <c r="M260" s="32">
        <f>K260/L260</f>
        <v>4.975</v>
      </c>
      <c r="N260" s="656"/>
      <c r="O260" s="429" t="s">
        <v>18</v>
      </c>
    </row>
    <row r="261" spans="2:15" s="5" customFormat="1" ht="12.75">
      <c r="B261" s="195"/>
      <c r="C261" s="195"/>
      <c r="D261" s="195"/>
      <c r="E261" s="732"/>
      <c r="F261" s="198"/>
      <c r="G261" s="195"/>
      <c r="H261" s="195"/>
      <c r="I261" s="28" t="s">
        <v>2577</v>
      </c>
      <c r="J261" s="428"/>
      <c r="K261" s="96">
        <v>1.69</v>
      </c>
      <c r="L261" s="30">
        <v>0.4</v>
      </c>
      <c r="M261" s="29">
        <f>K261/L261</f>
        <v>4.225</v>
      </c>
      <c r="N261" s="656"/>
      <c r="O261" s="429" t="s">
        <v>2127</v>
      </c>
    </row>
    <row r="262" spans="2:15" s="5" customFormat="1" ht="12.75">
      <c r="B262" s="195"/>
      <c r="C262" s="195"/>
      <c r="D262" s="195"/>
      <c r="E262" s="732"/>
      <c r="F262" s="198"/>
      <c r="G262" s="195"/>
      <c r="H262" s="195"/>
      <c r="I262" s="97" t="s">
        <v>1187</v>
      </c>
      <c r="J262" s="429"/>
      <c r="K262" s="61"/>
      <c r="L262" s="42"/>
      <c r="M262" s="32">
        <v>4.99</v>
      </c>
      <c r="N262" s="656"/>
      <c r="O262" s="429" t="s">
        <v>1910</v>
      </c>
    </row>
    <row r="263" spans="2:15" s="5" customFormat="1" ht="12.75">
      <c r="B263" s="195"/>
      <c r="C263" s="195"/>
      <c r="D263" s="195"/>
      <c r="E263" s="732"/>
      <c r="F263" s="198"/>
      <c r="G263" s="195"/>
      <c r="H263" s="195"/>
      <c r="I263" s="71" t="s">
        <v>1187</v>
      </c>
      <c r="J263" s="428"/>
      <c r="K263" s="96"/>
      <c r="L263" s="30"/>
      <c r="M263" s="29">
        <v>3.99</v>
      </c>
      <c r="N263" s="656"/>
      <c r="O263" s="429" t="s">
        <v>354</v>
      </c>
    </row>
    <row r="264" spans="2:15" s="5" customFormat="1" ht="12.75">
      <c r="B264" s="195"/>
      <c r="C264" s="195"/>
      <c r="D264" s="195"/>
      <c r="E264" s="732"/>
      <c r="F264" s="198"/>
      <c r="G264" s="195"/>
      <c r="H264" s="195"/>
      <c r="I264" s="37" t="s">
        <v>155</v>
      </c>
      <c r="J264" s="429"/>
      <c r="K264" s="61"/>
      <c r="L264" s="42"/>
      <c r="M264" s="32">
        <v>4.59</v>
      </c>
      <c r="N264" s="656"/>
      <c r="O264" s="429" t="s">
        <v>354</v>
      </c>
    </row>
    <row r="265" spans="2:15" s="5" customFormat="1" ht="12.75">
      <c r="B265" s="195"/>
      <c r="C265" s="195"/>
      <c r="D265" s="195"/>
      <c r="E265" s="732"/>
      <c r="F265" s="198"/>
      <c r="G265" s="195"/>
      <c r="H265" s="195"/>
      <c r="I265" s="37"/>
      <c r="J265" s="429"/>
      <c r="K265" s="61"/>
      <c r="L265" s="42"/>
      <c r="M265" s="61"/>
      <c r="N265" s="656"/>
      <c r="O265" s="429"/>
    </row>
    <row r="266" spans="2:15" s="5" customFormat="1" ht="12.75">
      <c r="B266" s="195"/>
      <c r="C266" s="195"/>
      <c r="D266" s="195"/>
      <c r="E266" s="732"/>
      <c r="F266" s="198"/>
      <c r="G266" s="195"/>
      <c r="H266" s="195"/>
      <c r="I266" s="59"/>
      <c r="J266" s="102"/>
      <c r="K266" s="4"/>
      <c r="L266"/>
      <c r="M266" s="347"/>
      <c r="N266" s="346"/>
      <c r="O266" s="102"/>
    </row>
    <row r="267" spans="2:15" s="5" customFormat="1" ht="12.75">
      <c r="B267" s="195"/>
      <c r="C267" s="195"/>
      <c r="D267" s="195"/>
      <c r="E267" s="732"/>
      <c r="F267" s="198"/>
      <c r="G267" s="195"/>
      <c r="H267" s="195"/>
      <c r="I267" s="59"/>
      <c r="J267" s="102"/>
      <c r="K267" s="4"/>
      <c r="L267"/>
      <c r="M267" s="347"/>
      <c r="N267" s="346"/>
      <c r="O267" s="102"/>
    </row>
    <row r="268" spans="2:15" s="5" customFormat="1" ht="15.75">
      <c r="B268" s="195"/>
      <c r="C268" s="195"/>
      <c r="D268" s="195"/>
      <c r="E268" s="732"/>
      <c r="F268" s="198"/>
      <c r="G268" s="195"/>
      <c r="H268" s="195"/>
      <c r="I268" s="248" t="s">
        <v>348</v>
      </c>
      <c r="J268" s="102"/>
      <c r="K268" s="4"/>
      <c r="L268"/>
      <c r="M268" s="347"/>
      <c r="N268" s="346"/>
      <c r="O268" s="102"/>
    </row>
    <row r="269" spans="2:15" s="447" customFormat="1" ht="12.75">
      <c r="B269" s="319"/>
      <c r="C269" s="319"/>
      <c r="D269" s="319"/>
      <c r="E269" s="735"/>
      <c r="F269" s="483"/>
      <c r="G269" s="319"/>
      <c r="H269" s="319"/>
      <c r="I269" s="97" t="s">
        <v>367</v>
      </c>
      <c r="J269" s="320"/>
      <c r="K269" s="320">
        <v>1.99</v>
      </c>
      <c r="L269" s="447">
        <v>450</v>
      </c>
      <c r="M269" s="321">
        <f>K269/L269*1000</f>
        <v>4.4222222222222225</v>
      </c>
      <c r="N269" s="788" t="s">
        <v>481</v>
      </c>
      <c r="O269" s="448" t="s">
        <v>2584</v>
      </c>
    </row>
    <row r="270" spans="2:15" s="447" customFormat="1" ht="12.75">
      <c r="B270" s="319"/>
      <c r="C270" s="319"/>
      <c r="D270" s="319"/>
      <c r="E270" s="735"/>
      <c r="F270" s="483"/>
      <c r="G270" s="319"/>
      <c r="H270" s="319"/>
      <c r="I270" s="43" t="s">
        <v>367</v>
      </c>
      <c r="J270" s="320"/>
      <c r="K270" s="320">
        <v>2.49</v>
      </c>
      <c r="L270" s="447">
        <v>400</v>
      </c>
      <c r="M270" s="321">
        <f>K270/L270*1000</f>
        <v>6.2250000000000005</v>
      </c>
      <c r="N270" s="829"/>
      <c r="O270" s="448" t="s">
        <v>2584</v>
      </c>
    </row>
    <row r="271" spans="2:15" s="447" customFormat="1" ht="12.75">
      <c r="B271" s="319"/>
      <c r="C271" s="319"/>
      <c r="D271" s="319"/>
      <c r="E271" s="735"/>
      <c r="F271" s="483"/>
      <c r="G271" s="319"/>
      <c r="H271" s="319"/>
      <c r="I271" s="37" t="s">
        <v>2580</v>
      </c>
      <c r="J271" s="320"/>
      <c r="K271" s="320">
        <v>1.99</v>
      </c>
      <c r="L271" s="447">
        <v>300</v>
      </c>
      <c r="M271" s="321">
        <f>K271/L271*1000</f>
        <v>6.633333333333333</v>
      </c>
      <c r="N271" s="829"/>
      <c r="O271" s="448" t="s">
        <v>2584</v>
      </c>
    </row>
    <row r="272" spans="2:15" s="447" customFormat="1" ht="12.75">
      <c r="B272" s="319"/>
      <c r="C272" s="319"/>
      <c r="D272" s="319"/>
      <c r="E272" s="735"/>
      <c r="F272" s="483"/>
      <c r="G272" s="319"/>
      <c r="H272" s="319"/>
      <c r="I272" s="718" t="s">
        <v>3044</v>
      </c>
      <c r="J272" s="320"/>
      <c r="K272" s="320"/>
      <c r="M272" s="321">
        <v>4.99</v>
      </c>
      <c r="N272" s="829"/>
      <c r="O272" s="448" t="s">
        <v>2584</v>
      </c>
    </row>
    <row r="273" spans="2:15" s="447" customFormat="1" ht="12.75">
      <c r="B273" s="319"/>
      <c r="C273" s="319"/>
      <c r="D273" s="319"/>
      <c r="E273" s="735"/>
      <c r="F273" s="483"/>
      <c r="G273" s="319"/>
      <c r="H273" s="319"/>
      <c r="I273" s="97" t="s">
        <v>1328</v>
      </c>
      <c r="J273" s="320"/>
      <c r="K273" s="320">
        <v>1.99</v>
      </c>
      <c r="L273" s="447">
        <v>0.35</v>
      </c>
      <c r="M273" s="321">
        <f>K273/L273</f>
        <v>5.685714285714286</v>
      </c>
      <c r="N273" s="829"/>
      <c r="O273" s="448" t="s">
        <v>2350</v>
      </c>
    </row>
    <row r="274" spans="9:15" ht="12.75">
      <c r="I274" s="37" t="s">
        <v>1647</v>
      </c>
      <c r="J274" s="66"/>
      <c r="K274" s="66">
        <v>2.79</v>
      </c>
      <c r="L274" s="33">
        <v>370</v>
      </c>
      <c r="M274" s="32">
        <f>K274/L274*1000</f>
        <v>7.54054054054054</v>
      </c>
      <c r="N274" s="267"/>
      <c r="O274" s="24" t="s">
        <v>2350</v>
      </c>
    </row>
    <row r="275" spans="9:15" ht="12.75">
      <c r="I275" s="97" t="s">
        <v>441</v>
      </c>
      <c r="J275" s="66"/>
      <c r="K275" s="66">
        <v>1.99</v>
      </c>
      <c r="L275" s="33">
        <v>370</v>
      </c>
      <c r="M275" s="32">
        <f>K275/L275*1000</f>
        <v>5.378378378378379</v>
      </c>
      <c r="N275" s="267"/>
      <c r="O275" s="24" t="s">
        <v>727</v>
      </c>
    </row>
    <row r="276" spans="9:15" ht="12.75">
      <c r="I276" s="277" t="s">
        <v>616</v>
      </c>
      <c r="J276" s="96"/>
      <c r="K276" s="96">
        <v>1.79</v>
      </c>
      <c r="L276" s="30">
        <v>0.45</v>
      </c>
      <c r="M276" s="29">
        <f>K276/L276</f>
        <v>3.977777777777778</v>
      </c>
      <c r="N276" s="267"/>
      <c r="O276" s="24" t="s">
        <v>2568</v>
      </c>
    </row>
    <row r="277" spans="9:15" ht="12.75">
      <c r="I277" s="71" t="s">
        <v>304</v>
      </c>
      <c r="J277" s="96"/>
      <c r="K277" s="96"/>
      <c r="L277" s="30"/>
      <c r="M277" s="116">
        <v>1.39</v>
      </c>
      <c r="N277" s="267"/>
      <c r="O277" s="24" t="s">
        <v>1762</v>
      </c>
    </row>
    <row r="278" spans="9:14" ht="12.75">
      <c r="I278" s="59"/>
      <c r="J278" s="66"/>
      <c r="K278" s="66"/>
      <c r="L278" s="33"/>
      <c r="M278" s="32"/>
      <c r="N278" s="267"/>
    </row>
    <row r="279" spans="9:14" ht="12.75">
      <c r="I279" s="59"/>
      <c r="J279" s="66"/>
      <c r="K279" s="66"/>
      <c r="L279" s="33"/>
      <c r="M279" s="32"/>
      <c r="N279" s="267"/>
    </row>
    <row r="280" spans="9:14" ht="12.75">
      <c r="I280" s="59"/>
      <c r="J280" s="66"/>
      <c r="K280" s="66"/>
      <c r="L280" s="33"/>
      <c r="M280" s="32"/>
      <c r="N280" s="267"/>
    </row>
    <row r="281" spans="9:14" ht="15.75">
      <c r="I281" s="248" t="s">
        <v>1232</v>
      </c>
      <c r="J281" s="66"/>
      <c r="K281" s="66"/>
      <c r="L281" s="33"/>
      <c r="M281" s="32"/>
      <c r="N281" s="267"/>
    </row>
    <row r="282" spans="2:15" ht="12.75">
      <c r="B282" s="195">
        <v>14.1</v>
      </c>
      <c r="C282" s="195">
        <v>43.5</v>
      </c>
      <c r="D282" s="195">
        <v>3</v>
      </c>
      <c r="F282" s="198">
        <v>1384</v>
      </c>
      <c r="G282" s="1277">
        <f>B282/F282*1000</f>
        <v>10.1878612716763</v>
      </c>
      <c r="H282" s="1212">
        <f>M282/F282*100000</f>
        <v>1191.4739884393064</v>
      </c>
      <c r="I282" s="40" t="s">
        <v>1233</v>
      </c>
      <c r="J282" s="66"/>
      <c r="K282" s="66"/>
      <c r="L282" s="33"/>
      <c r="M282" s="32">
        <v>16.49</v>
      </c>
      <c r="N282" s="267"/>
      <c r="O282" s="24" t="s">
        <v>2778</v>
      </c>
    </row>
    <row r="283" spans="2:15" ht="12.75">
      <c r="B283" s="195">
        <v>14.1</v>
      </c>
      <c r="C283" s="195">
        <v>43.5</v>
      </c>
      <c r="D283" s="195">
        <v>3</v>
      </c>
      <c r="F283" s="198">
        <v>1384</v>
      </c>
      <c r="G283" s="1277">
        <f>B283/F283*1000</f>
        <v>10.1878612716763</v>
      </c>
      <c r="H283" s="1212">
        <f>M283/F283*100000</f>
        <v>1227.6011560693642</v>
      </c>
      <c r="I283" s="40" t="s">
        <v>1234</v>
      </c>
      <c r="J283" s="66"/>
      <c r="K283" s="66"/>
      <c r="L283" s="33"/>
      <c r="M283" s="32">
        <v>16.99</v>
      </c>
      <c r="N283" s="267"/>
      <c r="O283" s="24" t="s">
        <v>2778</v>
      </c>
    </row>
    <row r="284" spans="9:14" ht="12.75">
      <c r="I284" s="59"/>
      <c r="J284" s="66"/>
      <c r="K284" s="66"/>
      <c r="L284" s="33"/>
      <c r="M284" s="32"/>
      <c r="N284" s="267"/>
    </row>
    <row r="285" spans="2:15" s="5" customFormat="1" ht="15.75">
      <c r="B285" s="195"/>
      <c r="C285" s="195"/>
      <c r="D285" s="195"/>
      <c r="E285" s="732"/>
      <c r="F285" s="198"/>
      <c r="G285" s="195"/>
      <c r="H285" s="195"/>
      <c r="I285" s="248" t="s">
        <v>960</v>
      </c>
      <c r="J285" s="102"/>
      <c r="K285" s="4"/>
      <c r="L285"/>
      <c r="M285" s="347"/>
      <c r="N285" s="346"/>
      <c r="O285" s="102"/>
    </row>
    <row r="286" spans="9:15" ht="12.75">
      <c r="I286" s="97" t="s">
        <v>2382</v>
      </c>
      <c r="J286" s="61"/>
      <c r="K286" s="61">
        <v>1.99</v>
      </c>
      <c r="L286" s="42">
        <v>750</v>
      </c>
      <c r="M286" s="276">
        <f>K286/L286*1000</f>
        <v>2.6533333333333333</v>
      </c>
      <c r="N286" s="763"/>
      <c r="O286" s="125" t="s">
        <v>3017</v>
      </c>
    </row>
    <row r="287" spans="9:15" ht="12.75">
      <c r="I287" s="97" t="s">
        <v>806</v>
      </c>
      <c r="J287" s="61"/>
      <c r="K287" s="61">
        <v>2.99</v>
      </c>
      <c r="L287" s="42">
        <v>750</v>
      </c>
      <c r="M287" s="276">
        <f>K287/L287*1000</f>
        <v>3.986666666666667</v>
      </c>
      <c r="N287" s="763"/>
      <c r="O287" s="125" t="s">
        <v>3017</v>
      </c>
    </row>
    <row r="288" spans="9:15" ht="12.75">
      <c r="I288" s="40" t="s">
        <v>604</v>
      </c>
      <c r="J288" s="61"/>
      <c r="K288" s="61">
        <v>1.29</v>
      </c>
      <c r="L288" s="42">
        <v>300</v>
      </c>
      <c r="M288" s="41">
        <f>K288/L288*1000</f>
        <v>4.3</v>
      </c>
      <c r="N288" s="763"/>
      <c r="O288" s="125" t="s">
        <v>161</v>
      </c>
    </row>
    <row r="289" spans="9:15" ht="12.75">
      <c r="I289" s="209" t="s">
        <v>2604</v>
      </c>
      <c r="J289" s="61"/>
      <c r="K289" s="61"/>
      <c r="L289" s="42"/>
      <c r="M289" s="41">
        <v>5.49</v>
      </c>
      <c r="N289" s="763"/>
      <c r="O289" s="125" t="s">
        <v>1521</v>
      </c>
    </row>
    <row r="290" spans="9:15" ht="12.75">
      <c r="I290" s="40" t="s">
        <v>3016</v>
      </c>
      <c r="J290" s="61"/>
      <c r="K290" s="61"/>
      <c r="L290" s="42"/>
      <c r="M290" s="41">
        <v>4.99</v>
      </c>
      <c r="N290" s="763"/>
      <c r="O290" s="125" t="s">
        <v>1094</v>
      </c>
    </row>
    <row r="291" spans="9:15" ht="12.75">
      <c r="I291" s="59" t="s">
        <v>1609</v>
      </c>
      <c r="J291" s="61"/>
      <c r="K291" s="61">
        <v>1.99</v>
      </c>
      <c r="L291" s="42">
        <v>750</v>
      </c>
      <c r="M291" s="276">
        <f>K291/L291*1000</f>
        <v>2.6533333333333333</v>
      </c>
      <c r="N291" s="763"/>
      <c r="O291" s="125" t="s">
        <v>2584</v>
      </c>
    </row>
    <row r="292" spans="9:15" ht="12.75">
      <c r="I292" s="43" t="s">
        <v>1648</v>
      </c>
      <c r="J292" s="61"/>
      <c r="K292" s="61">
        <v>2.49</v>
      </c>
      <c r="L292" s="42">
        <v>350</v>
      </c>
      <c r="M292" s="44">
        <f>K292/L292*1000</f>
        <v>7.114285714285715</v>
      </c>
      <c r="N292" s="763"/>
      <c r="O292" s="125" t="s">
        <v>1521</v>
      </c>
    </row>
    <row r="293" spans="9:15" ht="12.75">
      <c r="I293" s="97" t="s">
        <v>2688</v>
      </c>
      <c r="J293" s="61"/>
      <c r="K293" s="61">
        <v>2.99</v>
      </c>
      <c r="L293" s="42">
        <v>500</v>
      </c>
      <c r="M293" s="41">
        <f>K293/L293*1000</f>
        <v>5.98</v>
      </c>
      <c r="N293" s="763"/>
      <c r="O293" s="125" t="s">
        <v>2584</v>
      </c>
    </row>
    <row r="294" spans="9:15" ht="12.75">
      <c r="I294" s="59" t="s">
        <v>1450</v>
      </c>
      <c r="J294" s="66"/>
      <c r="K294" s="66"/>
      <c r="L294" s="33"/>
      <c r="M294" s="103">
        <v>1.99</v>
      </c>
      <c r="N294" s="267"/>
      <c r="O294" s="24" t="s">
        <v>2568</v>
      </c>
    </row>
    <row r="295" spans="9:15" ht="12.75">
      <c r="I295" s="59" t="s">
        <v>2385</v>
      </c>
      <c r="J295" s="66"/>
      <c r="K295" s="66">
        <v>3.49</v>
      </c>
      <c r="L295" s="33">
        <v>750</v>
      </c>
      <c r="M295" s="41">
        <f>K295/L295*1000</f>
        <v>4.653333333333334</v>
      </c>
      <c r="N295" s="267"/>
      <c r="O295" s="24" t="s">
        <v>727</v>
      </c>
    </row>
    <row r="296" spans="9:14" ht="12.75">
      <c r="I296" s="59"/>
      <c r="J296" s="66"/>
      <c r="K296" s="66"/>
      <c r="L296" s="33"/>
      <c r="M296" s="103"/>
      <c r="N296" s="267"/>
    </row>
    <row r="297" spans="2:15" s="5" customFormat="1" ht="12.75">
      <c r="B297" s="195"/>
      <c r="C297" s="195"/>
      <c r="D297" s="195"/>
      <c r="E297" s="732"/>
      <c r="F297" s="198"/>
      <c r="G297" s="195"/>
      <c r="H297" s="195"/>
      <c r="I297" s="59"/>
      <c r="J297" s="102"/>
      <c r="K297" s="4"/>
      <c r="L297"/>
      <c r="M297" s="347"/>
      <c r="N297" s="346"/>
      <c r="O297" s="102"/>
    </row>
    <row r="298" spans="2:15" s="5" customFormat="1" ht="15.75">
      <c r="B298" s="195"/>
      <c r="C298" s="195"/>
      <c r="D298" s="195"/>
      <c r="E298" s="732"/>
      <c r="F298" s="198"/>
      <c r="G298" s="195"/>
      <c r="H298" s="195"/>
      <c r="I298" s="248" t="s">
        <v>2614</v>
      </c>
      <c r="J298" s="102"/>
      <c r="K298" s="4"/>
      <c r="L298"/>
      <c r="M298" s="347"/>
      <c r="N298" s="346"/>
      <c r="O298" s="102"/>
    </row>
    <row r="299" spans="2:15" s="5" customFormat="1" ht="12.75">
      <c r="B299" s="195"/>
      <c r="C299" s="195"/>
      <c r="D299" s="195"/>
      <c r="E299" s="732"/>
      <c r="F299" s="198"/>
      <c r="G299" s="195"/>
      <c r="H299" s="195"/>
      <c r="I299" s="59" t="s">
        <v>2600</v>
      </c>
      <c r="J299" s="102"/>
      <c r="K299" s="4">
        <f>3*0.69</f>
        <v>2.07</v>
      </c>
      <c r="L299" s="33">
        <v>1.168</v>
      </c>
      <c r="M299" s="32">
        <f>K299/L299</f>
        <v>1.7722602739726028</v>
      </c>
      <c r="N299" s="346"/>
      <c r="O299" s="102" t="s">
        <v>2120</v>
      </c>
    </row>
    <row r="300" spans="2:15" s="5" customFormat="1" ht="12.75">
      <c r="B300" s="195"/>
      <c r="C300" s="195"/>
      <c r="D300" s="195"/>
      <c r="E300" s="732"/>
      <c r="F300" s="198"/>
      <c r="G300" s="195"/>
      <c r="H300" s="195"/>
      <c r="I300" s="43" t="s">
        <v>894</v>
      </c>
      <c r="J300" s="102"/>
      <c r="K300" s="4"/>
      <c r="L300" s="33"/>
      <c r="M300" s="32">
        <v>2.49</v>
      </c>
      <c r="N300" s="346"/>
      <c r="O300" s="102" t="s">
        <v>1705</v>
      </c>
    </row>
    <row r="301" spans="2:15" s="5" customFormat="1" ht="12.75">
      <c r="B301" s="195"/>
      <c r="C301" s="195"/>
      <c r="D301" s="195"/>
      <c r="E301" s="732"/>
      <c r="F301" s="198"/>
      <c r="G301" s="195"/>
      <c r="H301" s="195"/>
      <c r="I301" s="15" t="s">
        <v>1341</v>
      </c>
      <c r="J301" s="262"/>
      <c r="K301" s="55"/>
      <c r="L301" s="7"/>
      <c r="M301" s="16">
        <v>1.19</v>
      </c>
      <c r="N301" s="346"/>
      <c r="O301" s="102" t="s">
        <v>18</v>
      </c>
    </row>
    <row r="302" spans="2:15" s="5" customFormat="1" ht="12.75">
      <c r="B302" s="195"/>
      <c r="C302" s="195"/>
      <c r="D302" s="195"/>
      <c r="E302" s="732"/>
      <c r="F302" s="198"/>
      <c r="G302" s="195"/>
      <c r="H302" s="195"/>
      <c r="I302" s="97" t="s">
        <v>1341</v>
      </c>
      <c r="J302" s="102"/>
      <c r="K302" s="4"/>
      <c r="L302" s="33"/>
      <c r="M302" s="32">
        <v>1.99</v>
      </c>
      <c r="N302" s="346"/>
      <c r="O302" s="102" t="s">
        <v>1705</v>
      </c>
    </row>
    <row r="303" spans="2:15" s="5" customFormat="1" ht="12.75">
      <c r="B303" s="195"/>
      <c r="C303" s="195"/>
      <c r="D303" s="195"/>
      <c r="E303" s="732"/>
      <c r="F303" s="198"/>
      <c r="G303" s="195"/>
      <c r="H303" s="195"/>
      <c r="I303" s="40" t="s">
        <v>1272</v>
      </c>
      <c r="J303" s="102"/>
      <c r="K303" s="4">
        <v>1.29</v>
      </c>
      <c r="L303" s="33">
        <v>0.5</v>
      </c>
      <c r="M303" s="32">
        <f>K303/L303</f>
        <v>2.58</v>
      </c>
      <c r="N303" s="346"/>
      <c r="O303" s="102" t="s">
        <v>2120</v>
      </c>
    </row>
    <row r="304" spans="2:15" s="5" customFormat="1" ht="12.75">
      <c r="B304" s="195"/>
      <c r="C304" s="195"/>
      <c r="D304" s="195"/>
      <c r="E304" s="732"/>
      <c r="F304" s="198"/>
      <c r="G304" s="195"/>
      <c r="H304" s="195"/>
      <c r="I304" s="97" t="s">
        <v>1272</v>
      </c>
      <c r="J304" s="102"/>
      <c r="K304" s="4">
        <v>0.99</v>
      </c>
      <c r="L304" s="33">
        <v>0.5</v>
      </c>
      <c r="M304" s="32">
        <f>K304/L304</f>
        <v>1.98</v>
      </c>
      <c r="N304" s="346"/>
      <c r="O304" s="102" t="s">
        <v>1705</v>
      </c>
    </row>
    <row r="305" spans="2:15" s="5" customFormat="1" ht="12.75">
      <c r="B305" s="195"/>
      <c r="C305" s="195"/>
      <c r="D305" s="195"/>
      <c r="E305" s="732"/>
      <c r="F305" s="198"/>
      <c r="G305" s="195"/>
      <c r="H305" s="195"/>
      <c r="I305" s="71" t="s">
        <v>1200</v>
      </c>
      <c r="J305" s="428"/>
      <c r="K305" s="96">
        <v>0.89</v>
      </c>
      <c r="L305" s="30">
        <v>0.5</v>
      </c>
      <c r="M305" s="29">
        <f>K305/L305</f>
        <v>1.78</v>
      </c>
      <c r="N305" s="346"/>
      <c r="O305" s="102" t="s">
        <v>2320</v>
      </c>
    </row>
    <row r="306" spans="2:15" s="5" customFormat="1" ht="12.75">
      <c r="B306" s="195"/>
      <c r="C306" s="195"/>
      <c r="D306" s="195"/>
      <c r="E306" s="732"/>
      <c r="F306" s="198"/>
      <c r="G306" s="195"/>
      <c r="H306" s="195"/>
      <c r="I306" s="59" t="s">
        <v>1667</v>
      </c>
      <c r="J306" s="102"/>
      <c r="K306" s="4"/>
      <c r="L306" s="33"/>
      <c r="M306" s="32">
        <v>1.5</v>
      </c>
      <c r="N306" s="346"/>
      <c r="O306" s="102" t="s">
        <v>233</v>
      </c>
    </row>
    <row r="307" spans="2:15" s="5" customFormat="1" ht="12.75">
      <c r="B307" s="195"/>
      <c r="C307" s="195"/>
      <c r="D307" s="195"/>
      <c r="E307" s="732"/>
      <c r="F307" s="198"/>
      <c r="G307" s="195"/>
      <c r="H307" s="195"/>
      <c r="I307" s="28" t="s">
        <v>1667</v>
      </c>
      <c r="J307" s="428"/>
      <c r="K307" s="96"/>
      <c r="L307" s="30"/>
      <c r="M307" s="29">
        <v>2.29</v>
      </c>
      <c r="N307" s="346"/>
      <c r="O307" s="102" t="s">
        <v>2632</v>
      </c>
    </row>
    <row r="308" spans="2:15" s="5" customFormat="1" ht="12.75">
      <c r="B308" s="195"/>
      <c r="C308" s="195"/>
      <c r="D308" s="195"/>
      <c r="E308" s="732"/>
      <c r="F308" s="198"/>
      <c r="G308" s="195"/>
      <c r="H308" s="195"/>
      <c r="I308" s="59"/>
      <c r="J308" s="102"/>
      <c r="K308" s="4"/>
      <c r="L308"/>
      <c r="M308" s="347"/>
      <c r="N308" s="346"/>
      <c r="O308" s="102"/>
    </row>
    <row r="309" spans="2:15" s="5" customFormat="1" ht="12.75">
      <c r="B309" s="195"/>
      <c r="C309" s="195"/>
      <c r="D309" s="195"/>
      <c r="E309" s="732"/>
      <c r="F309" s="198"/>
      <c r="G309" s="195"/>
      <c r="H309" s="195"/>
      <c r="I309" s="59"/>
      <c r="J309" s="102"/>
      <c r="K309" s="4"/>
      <c r="L309"/>
      <c r="M309" s="347"/>
      <c r="N309" s="346"/>
      <c r="O309" s="102"/>
    </row>
    <row r="310" spans="2:15" s="5" customFormat="1" ht="12.75">
      <c r="B310" s="195"/>
      <c r="C310" s="195"/>
      <c r="D310" s="195"/>
      <c r="E310" s="732"/>
      <c r="F310" s="198"/>
      <c r="G310" s="195"/>
      <c r="H310" s="195"/>
      <c r="I310" s="59"/>
      <c r="J310" s="102"/>
      <c r="K310" s="4"/>
      <c r="L310"/>
      <c r="M310" s="347"/>
      <c r="N310" s="346"/>
      <c r="O310" s="102"/>
    </row>
    <row r="311" spans="2:15" s="5" customFormat="1" ht="12.75">
      <c r="B311" s="195"/>
      <c r="C311" s="195"/>
      <c r="D311" s="195"/>
      <c r="E311" s="732"/>
      <c r="F311" s="198"/>
      <c r="G311" s="195"/>
      <c r="H311" s="195"/>
      <c r="I311" s="59"/>
      <c r="J311" s="102"/>
      <c r="K311" s="4"/>
      <c r="L311"/>
      <c r="M311" s="347"/>
      <c r="N311" s="346"/>
      <c r="O311" s="102"/>
    </row>
    <row r="312" spans="1:15" s="5" customFormat="1" ht="12.75">
      <c r="A312" s="927" t="e">
        <f>B312*B$4+C312*C$4+D312*D$4</f>
        <v>#VALUE!</v>
      </c>
      <c r="B312" s="195">
        <v>0.7</v>
      </c>
      <c r="C312" s="195">
        <v>6</v>
      </c>
      <c r="D312" s="195">
        <v>0.7</v>
      </c>
      <c r="E312" s="733" t="e">
        <f>(B312*B$3+C312*C$3+D312*D$3)*E$3</f>
        <v>#VALUE!</v>
      </c>
      <c r="F312" s="198">
        <v>140</v>
      </c>
      <c r="G312" s="195">
        <f>B312/F312*1000</f>
        <v>5</v>
      </c>
      <c r="H312" s="195"/>
      <c r="I312" s="59" t="s">
        <v>1621</v>
      </c>
      <c r="J312" s="102"/>
      <c r="K312" s="4"/>
      <c r="L312"/>
      <c r="M312" s="347"/>
      <c r="N312" s="346"/>
      <c r="O312" s="102"/>
    </row>
    <row r="313" spans="2:15" s="5" customFormat="1" ht="12.75">
      <c r="B313" s="195"/>
      <c r="C313" s="195"/>
      <c r="D313" s="195"/>
      <c r="E313" s="732"/>
      <c r="F313" s="198"/>
      <c r="G313" s="195"/>
      <c r="H313" s="195"/>
      <c r="I313" s="59"/>
      <c r="J313" s="102"/>
      <c r="K313" s="4"/>
      <c r="L313"/>
      <c r="M313" s="347"/>
      <c r="N313" s="346"/>
      <c r="O313" s="102"/>
    </row>
    <row r="314" spans="9:14" ht="12.75">
      <c r="I314" s="31"/>
      <c r="J314" s="151"/>
      <c r="K314" s="66"/>
      <c r="M314" s="32"/>
      <c r="N314" s="7"/>
    </row>
    <row r="315" spans="9:16" ht="15.75">
      <c r="I315" s="424" t="s">
        <v>1003</v>
      </c>
      <c r="J315" s="151"/>
      <c r="K315" s="66"/>
      <c r="L315" s="31"/>
      <c r="M315" s="32"/>
      <c r="N315" s="7"/>
      <c r="P315" s="52" t="s">
        <v>3079</v>
      </c>
    </row>
    <row r="316" spans="9:15" ht="12.75">
      <c r="I316" s="15" t="s">
        <v>1103</v>
      </c>
      <c r="J316" s="55"/>
      <c r="K316" s="55"/>
      <c r="L316" s="7"/>
      <c r="M316" s="16">
        <v>1.19</v>
      </c>
      <c r="N316" s="763"/>
      <c r="O316" s="51" t="s">
        <v>637</v>
      </c>
    </row>
    <row r="317" spans="9:15" ht="12.75">
      <c r="I317" s="97" t="s">
        <v>2121</v>
      </c>
      <c r="J317" s="61"/>
      <c r="K317" s="61"/>
      <c r="L317" s="42"/>
      <c r="M317" s="41">
        <v>1.69</v>
      </c>
      <c r="N317" s="763"/>
      <c r="O317" s="51" t="s">
        <v>637</v>
      </c>
    </row>
    <row r="318" spans="9:15" ht="12.75">
      <c r="I318" s="97" t="s">
        <v>2574</v>
      </c>
      <c r="J318" s="61"/>
      <c r="K318" s="61"/>
      <c r="L318" s="42"/>
      <c r="M318" s="41">
        <v>1.69</v>
      </c>
      <c r="N318" s="763"/>
      <c r="O318" s="125" t="s">
        <v>2120</v>
      </c>
    </row>
    <row r="319" spans="9:15" ht="12.75">
      <c r="I319" s="109" t="s">
        <v>731</v>
      </c>
      <c r="J319" s="120"/>
      <c r="K319" s="120"/>
      <c r="L319" s="23"/>
      <c r="M319" s="22">
        <v>2.49</v>
      </c>
      <c r="N319" s="267"/>
      <c r="O319" s="24" t="s">
        <v>2463</v>
      </c>
    </row>
    <row r="320" spans="9:15" ht="12.75">
      <c r="I320" s="109" t="s">
        <v>730</v>
      </c>
      <c r="J320" s="120"/>
      <c r="K320" s="120"/>
      <c r="L320" s="23"/>
      <c r="M320" s="22">
        <v>2.79</v>
      </c>
      <c r="N320" s="267"/>
      <c r="O320" s="24" t="s">
        <v>2463</v>
      </c>
    </row>
    <row r="321" spans="9:15" ht="12.75">
      <c r="I321" s="109" t="s">
        <v>2692</v>
      </c>
      <c r="J321" s="120"/>
      <c r="K321" s="120"/>
      <c r="L321" s="23"/>
      <c r="M321" s="22">
        <v>1.79</v>
      </c>
      <c r="N321" s="267"/>
      <c r="O321" s="24" t="s">
        <v>689</v>
      </c>
    </row>
    <row r="322" spans="9:15" ht="12.75">
      <c r="I322" s="109" t="s">
        <v>2121</v>
      </c>
      <c r="J322" s="120"/>
      <c r="K322" s="120"/>
      <c r="L322" s="23"/>
      <c r="M322" s="22">
        <v>1.59</v>
      </c>
      <c r="N322" s="267"/>
      <c r="O322" s="24" t="s">
        <v>2120</v>
      </c>
    </row>
    <row r="323" spans="9:15" ht="14.25">
      <c r="I323" s="109" t="s">
        <v>721</v>
      </c>
      <c r="J323" s="120"/>
      <c r="K323" s="120"/>
      <c r="L323" s="23"/>
      <c r="M323" s="22">
        <v>2.59</v>
      </c>
      <c r="N323" s="267"/>
      <c r="O323" s="24" t="s">
        <v>36</v>
      </c>
    </row>
    <row r="324" spans="9:15" ht="14.25">
      <c r="I324" s="109" t="s">
        <v>1596</v>
      </c>
      <c r="J324" s="120"/>
      <c r="K324" s="120"/>
      <c r="L324" s="23"/>
      <c r="M324" s="22">
        <v>1.99</v>
      </c>
      <c r="N324" s="267"/>
      <c r="O324" s="24" t="s">
        <v>2670</v>
      </c>
    </row>
    <row r="325" spans="9:14" ht="12.75">
      <c r="I325" s="119"/>
      <c r="J325" s="160"/>
      <c r="K325" s="160"/>
      <c r="L325" s="19"/>
      <c r="M325" s="18"/>
      <c r="N325" s="7"/>
    </row>
    <row r="326" spans="9:14" ht="15.75">
      <c r="I326" s="248" t="s">
        <v>2567</v>
      </c>
      <c r="J326" s="160"/>
      <c r="K326" s="160"/>
      <c r="L326" s="19"/>
      <c r="M326" s="18"/>
      <c r="N326" s="7"/>
    </row>
    <row r="327" spans="2:15" s="447" customFormat="1" ht="12.75">
      <c r="B327" s="319"/>
      <c r="C327" s="319"/>
      <c r="D327" s="319"/>
      <c r="E327" s="735"/>
      <c r="F327" s="483"/>
      <c r="G327" s="319"/>
      <c r="H327" s="319"/>
      <c r="I327" s="718" t="s">
        <v>2483</v>
      </c>
      <c r="J327" s="320"/>
      <c r="K327" s="320"/>
      <c r="M327" s="321">
        <v>0.99</v>
      </c>
      <c r="O327" s="448" t="s">
        <v>2670</v>
      </c>
    </row>
    <row r="328" spans="9:14" ht="12.75">
      <c r="I328" s="59"/>
      <c r="J328" s="154"/>
      <c r="K328" s="154"/>
      <c r="L328" s="63"/>
      <c r="M328" s="62"/>
      <c r="N328" s="7"/>
    </row>
    <row r="329" spans="9:14" ht="12.75">
      <c r="I329" s="2"/>
      <c r="J329" s="61"/>
      <c r="K329" s="61"/>
      <c r="M329" s="5"/>
      <c r="N329" s="7"/>
    </row>
    <row r="330" spans="9:16" ht="15.75">
      <c r="I330" s="178" t="s">
        <v>1116</v>
      </c>
      <c r="J330" s="151"/>
      <c r="K330" s="66"/>
      <c r="L330" s="31"/>
      <c r="M330" s="32"/>
      <c r="N330" s="7"/>
      <c r="P330" s="52" t="s">
        <v>3079</v>
      </c>
    </row>
    <row r="331" spans="9:15" ht="12.75">
      <c r="I331" s="97" t="s">
        <v>2341</v>
      </c>
      <c r="J331" s="61"/>
      <c r="K331" s="61"/>
      <c r="L331" s="42"/>
      <c r="M331" s="41">
        <v>0.89</v>
      </c>
      <c r="N331" s="7"/>
      <c r="O331" s="24" t="s">
        <v>2877</v>
      </c>
    </row>
    <row r="332" spans="9:15" ht="12.75">
      <c r="I332" s="56" t="s">
        <v>186</v>
      </c>
      <c r="J332" s="61"/>
      <c r="K332" s="61"/>
      <c r="M332" s="5"/>
      <c r="N332" s="7"/>
      <c r="O332" s="24" t="s">
        <v>1663</v>
      </c>
    </row>
    <row r="333" spans="9:14" ht="12.75">
      <c r="I333" s="2"/>
      <c r="J333" s="61"/>
      <c r="K333" s="61"/>
      <c r="M333" s="5"/>
      <c r="N333" s="7"/>
    </row>
    <row r="334" spans="9:16" ht="15.75">
      <c r="I334" s="178" t="s">
        <v>1495</v>
      </c>
      <c r="J334" s="151"/>
      <c r="K334" s="66"/>
      <c r="L334" s="31"/>
      <c r="M334" s="32"/>
      <c r="N334" s="7"/>
      <c r="P334" s="52" t="s">
        <v>3079</v>
      </c>
    </row>
    <row r="335" spans="9:15" ht="12.75">
      <c r="I335" s="2" t="s">
        <v>156</v>
      </c>
      <c r="J335" s="61"/>
      <c r="K335" s="61"/>
      <c r="L335">
        <v>1000</v>
      </c>
      <c r="M335" s="5">
        <f>K335/L335*1000</f>
        <v>0</v>
      </c>
      <c r="N335" s="7"/>
      <c r="O335" s="24" t="s">
        <v>1456</v>
      </c>
    </row>
    <row r="336" spans="9:15" ht="12.75">
      <c r="I336" s="277" t="s">
        <v>914</v>
      </c>
      <c r="J336" s="61"/>
      <c r="K336" s="61"/>
      <c r="M336" s="5"/>
      <c r="N336" s="7"/>
      <c r="O336" s="90" t="s">
        <v>1456</v>
      </c>
    </row>
    <row r="337" spans="9:14" ht="12.75">
      <c r="I337" s="31"/>
      <c r="J337" s="61"/>
      <c r="K337" s="61"/>
      <c r="M337" s="5"/>
      <c r="N337" s="7"/>
    </row>
    <row r="338" spans="9:14" ht="15.75">
      <c r="I338" s="52" t="s">
        <v>2185</v>
      </c>
      <c r="J338" s="151"/>
      <c r="K338" s="66"/>
      <c r="L338" s="31"/>
      <c r="M338" s="32"/>
      <c r="N338" s="7"/>
    </row>
    <row r="339" spans="9:15" ht="12.75">
      <c r="I339" s="2" t="s">
        <v>1187</v>
      </c>
      <c r="J339" s="61"/>
      <c r="K339" s="61"/>
      <c r="M339" s="5">
        <v>3.99</v>
      </c>
      <c r="N339" s="7"/>
      <c r="O339" s="24" t="s">
        <v>233</v>
      </c>
    </row>
    <row r="340" spans="9:15" ht="12.75">
      <c r="I340" s="71" t="s">
        <v>1187</v>
      </c>
      <c r="J340" s="96"/>
      <c r="K340" s="96"/>
      <c r="L340" s="30"/>
      <c r="M340" s="29">
        <v>3.5</v>
      </c>
      <c r="N340" s="7"/>
      <c r="O340" s="24" t="s">
        <v>233</v>
      </c>
    </row>
    <row r="341" spans="9:15" ht="12.75">
      <c r="I341" s="71" t="s">
        <v>300</v>
      </c>
      <c r="J341" s="96"/>
      <c r="K341" s="96">
        <v>1.99</v>
      </c>
      <c r="L341" s="30">
        <v>500</v>
      </c>
      <c r="M341" s="29">
        <f>K341/L341*1000</f>
        <v>3.98</v>
      </c>
      <c r="N341" s="7"/>
      <c r="O341" s="24" t="s">
        <v>149</v>
      </c>
    </row>
    <row r="342" spans="9:15" ht="12.75">
      <c r="I342" s="71" t="s">
        <v>2659</v>
      </c>
      <c r="J342" s="96">
        <v>5.3</v>
      </c>
      <c r="K342" s="96">
        <f>J342*0.97</f>
        <v>5.141</v>
      </c>
      <c r="L342" s="30">
        <v>1000</v>
      </c>
      <c r="M342" s="29">
        <f>K342/L342*1000</f>
        <v>5.141</v>
      </c>
      <c r="N342" s="7"/>
      <c r="O342" s="24" t="s">
        <v>1456</v>
      </c>
    </row>
    <row r="343" spans="9:15" ht="12.75">
      <c r="I343" s="277" t="s">
        <v>914</v>
      </c>
      <c r="J343" s="61"/>
      <c r="K343" s="61"/>
      <c r="M343" s="5"/>
      <c r="N343" s="7"/>
      <c r="O343" s="90" t="s">
        <v>1456</v>
      </c>
    </row>
    <row r="344" spans="9:15" ht="12.75">
      <c r="I344" s="277"/>
      <c r="J344" s="61"/>
      <c r="K344" s="61"/>
      <c r="M344" s="5"/>
      <c r="N344" s="7"/>
      <c r="O344" s="90"/>
    </row>
    <row r="345" spans="9:15" ht="15.75">
      <c r="I345" s="52" t="s">
        <v>2548</v>
      </c>
      <c r="J345" s="61"/>
      <c r="K345" s="61"/>
      <c r="M345" s="5"/>
      <c r="N345" s="7"/>
      <c r="O345" s="90"/>
    </row>
    <row r="346" spans="9:15" ht="12.75">
      <c r="I346" s="2" t="s">
        <v>186</v>
      </c>
      <c r="J346" s="61"/>
      <c r="K346" s="61"/>
      <c r="M346" s="5">
        <v>5</v>
      </c>
      <c r="N346" s="122"/>
      <c r="O346" s="24" t="s">
        <v>674</v>
      </c>
    </row>
    <row r="347" spans="9:15" ht="12.75">
      <c r="I347" s="43" t="s">
        <v>2193</v>
      </c>
      <c r="J347" s="46"/>
      <c r="K347" s="46">
        <v>2.99</v>
      </c>
      <c r="L347" s="45">
        <v>500</v>
      </c>
      <c r="M347" s="44">
        <f>K347/L347*1000</f>
        <v>5.98</v>
      </c>
      <c r="N347" s="7"/>
      <c r="O347" s="24" t="s">
        <v>674</v>
      </c>
    </row>
    <row r="348" spans="9:15" ht="12.75">
      <c r="I348" s="71" t="s">
        <v>2193</v>
      </c>
      <c r="J348" s="96"/>
      <c r="K348" s="96">
        <v>2.29</v>
      </c>
      <c r="L348" s="30">
        <v>500</v>
      </c>
      <c r="M348" s="29">
        <f>K348/L348*1000</f>
        <v>4.58</v>
      </c>
      <c r="N348" s="7"/>
      <c r="O348" s="24" t="s">
        <v>3017</v>
      </c>
    </row>
    <row r="349" spans="9:15" ht="12.75">
      <c r="I349" s="71" t="s">
        <v>2193</v>
      </c>
      <c r="J349" s="96"/>
      <c r="K349" s="96">
        <v>1.99</v>
      </c>
      <c r="L349" s="30">
        <v>500</v>
      </c>
      <c r="M349" s="29">
        <f>K349/L349*1000</f>
        <v>3.98</v>
      </c>
      <c r="N349" s="7"/>
      <c r="O349" s="24" t="s">
        <v>2320</v>
      </c>
    </row>
    <row r="350" spans="9:15" ht="12.75">
      <c r="I350" s="31" t="s">
        <v>2194</v>
      </c>
      <c r="J350" s="66"/>
      <c r="K350" s="66"/>
      <c r="L350" s="33"/>
      <c r="M350" s="32">
        <v>4.99</v>
      </c>
      <c r="N350" s="33"/>
      <c r="O350" s="88" t="s">
        <v>2320</v>
      </c>
    </row>
    <row r="351" spans="9:15" ht="12.75">
      <c r="I351" s="277"/>
      <c r="J351" s="61"/>
      <c r="K351" s="61"/>
      <c r="M351" s="5"/>
      <c r="N351" s="7"/>
      <c r="O351" s="90"/>
    </row>
    <row r="352" spans="9:15" ht="15.75">
      <c r="I352" s="52" t="s">
        <v>1410</v>
      </c>
      <c r="J352" s="61"/>
      <c r="K352" s="61"/>
      <c r="M352" s="5"/>
      <c r="N352" s="7"/>
      <c r="O352" s="90"/>
    </row>
    <row r="353" spans="9:15" ht="12.75">
      <c r="I353" s="2" t="s">
        <v>275</v>
      </c>
      <c r="J353" s="61"/>
      <c r="K353" s="61"/>
      <c r="M353" s="5">
        <v>8.9</v>
      </c>
      <c r="N353" s="7"/>
      <c r="O353" s="24" t="s">
        <v>752</v>
      </c>
    </row>
    <row r="354" spans="9:15" ht="12.75">
      <c r="I354" s="277"/>
      <c r="J354" s="61"/>
      <c r="K354" s="61"/>
      <c r="M354" s="5"/>
      <c r="N354" s="7"/>
      <c r="O354" s="90"/>
    </row>
    <row r="355" spans="9:14" ht="15.75">
      <c r="I355" s="52" t="s">
        <v>1949</v>
      </c>
      <c r="J355" s="61"/>
      <c r="K355" s="66"/>
      <c r="L355" s="31"/>
      <c r="M355" s="32"/>
      <c r="N355" s="7"/>
    </row>
    <row r="356" spans="9:15" ht="12.75">
      <c r="I356" s="37" t="s">
        <v>2092</v>
      </c>
      <c r="J356" s="968"/>
      <c r="K356" s="968"/>
      <c r="L356" s="112"/>
      <c r="M356" s="113">
        <v>1.49</v>
      </c>
      <c r="N356" s="20"/>
      <c r="O356" s="448" t="s">
        <v>2877</v>
      </c>
    </row>
    <row r="357" spans="9:15" ht="12.75">
      <c r="I357" s="415" t="s">
        <v>1756</v>
      </c>
      <c r="J357" s="968"/>
      <c r="K357" s="968"/>
      <c r="L357" s="112"/>
      <c r="M357" s="969">
        <v>0.97</v>
      </c>
      <c r="N357" s="492" t="s">
        <v>1714</v>
      </c>
      <c r="O357" s="448" t="s">
        <v>2455</v>
      </c>
    </row>
    <row r="358" spans="9:15" ht="12.75">
      <c r="I358" s="415" t="s">
        <v>2594</v>
      </c>
      <c r="J358" s="968"/>
      <c r="K358" s="968"/>
      <c r="L358" s="112"/>
      <c r="M358" s="969">
        <v>1.04</v>
      </c>
      <c r="N358" s="122" t="s">
        <v>2698</v>
      </c>
      <c r="O358" s="448" t="s">
        <v>2768</v>
      </c>
    </row>
    <row r="359" spans="9:15" ht="12.75">
      <c r="I359" s="415" t="s">
        <v>2594</v>
      </c>
      <c r="J359" s="968"/>
      <c r="K359" s="968"/>
      <c r="L359" s="112"/>
      <c r="M359" s="969">
        <v>1.39</v>
      </c>
      <c r="N359" s="122"/>
      <c r="O359" s="448" t="s">
        <v>2877</v>
      </c>
    </row>
    <row r="360" spans="9:15" ht="12.75">
      <c r="I360" s="147" t="s">
        <v>1198</v>
      </c>
      <c r="J360" s="162"/>
      <c r="K360" s="162"/>
      <c r="L360" s="123"/>
      <c r="M360" s="721">
        <v>0.89</v>
      </c>
      <c r="N360" s="492" t="s">
        <v>1362</v>
      </c>
      <c r="O360" s="24" t="s">
        <v>2455</v>
      </c>
    </row>
    <row r="361" spans="9:15" ht="12.75">
      <c r="I361" s="15" t="s">
        <v>1757</v>
      </c>
      <c r="J361" s="55"/>
      <c r="K361" s="55"/>
      <c r="L361" s="6"/>
      <c r="M361" s="129">
        <v>1.39</v>
      </c>
      <c r="N361" s="122"/>
      <c r="O361" s="24" t="s">
        <v>2877</v>
      </c>
    </row>
    <row r="362" spans="9:15" ht="12.75">
      <c r="I362" s="147" t="s">
        <v>1198</v>
      </c>
      <c r="J362" s="162"/>
      <c r="K362" s="162"/>
      <c r="L362" s="123"/>
      <c r="M362" s="721">
        <v>1.29</v>
      </c>
      <c r="N362" s="122"/>
      <c r="O362" s="24" t="s">
        <v>269</v>
      </c>
    </row>
    <row r="363" spans="9:15" ht="12.75">
      <c r="I363" s="97" t="s">
        <v>1166</v>
      </c>
      <c r="J363" s="61"/>
      <c r="K363" s="61"/>
      <c r="L363" s="40"/>
      <c r="M363" s="41">
        <v>1.99</v>
      </c>
      <c r="N363" s="7"/>
      <c r="O363" s="24" t="s">
        <v>2877</v>
      </c>
    </row>
    <row r="364" spans="9:15" ht="12.75">
      <c r="I364" s="97" t="s">
        <v>320</v>
      </c>
      <c r="J364" s="61"/>
      <c r="K364" s="61"/>
      <c r="L364" s="40"/>
      <c r="M364" s="41">
        <v>1.99</v>
      </c>
      <c r="N364" s="7"/>
      <c r="O364" s="24" t="s">
        <v>2877</v>
      </c>
    </row>
    <row r="365" spans="9:15" ht="12.75">
      <c r="I365" s="71" t="s">
        <v>320</v>
      </c>
      <c r="J365" s="96"/>
      <c r="K365" s="96"/>
      <c r="L365" s="28"/>
      <c r="M365" s="29">
        <v>2.19</v>
      </c>
      <c r="N365" s="7"/>
      <c r="O365" s="24" t="s">
        <v>2337</v>
      </c>
    </row>
    <row r="366" spans="9:15" ht="12.75">
      <c r="I366" s="71" t="s">
        <v>320</v>
      </c>
      <c r="J366" s="96"/>
      <c r="K366" s="96"/>
      <c r="L366" s="28"/>
      <c r="M366" s="29">
        <v>1.89</v>
      </c>
      <c r="N366" s="7"/>
      <c r="O366" s="24" t="s">
        <v>1286</v>
      </c>
    </row>
    <row r="367" spans="9:15" ht="12.75">
      <c r="I367" s="37" t="s">
        <v>2812</v>
      </c>
      <c r="J367" s="38"/>
      <c r="K367" s="37"/>
      <c r="L367" s="37"/>
      <c r="M367" s="25">
        <v>2.69</v>
      </c>
      <c r="N367" s="7"/>
      <c r="O367" s="24" t="s">
        <v>2170</v>
      </c>
    </row>
    <row r="368" spans="9:15" ht="12.75">
      <c r="I368" s="71" t="s">
        <v>2592</v>
      </c>
      <c r="J368" s="96"/>
      <c r="K368" s="28"/>
      <c r="L368" s="28"/>
      <c r="M368" s="116">
        <v>1.49</v>
      </c>
      <c r="N368" s="122" t="s">
        <v>2269</v>
      </c>
      <c r="O368" s="24" t="s">
        <v>1094</v>
      </c>
    </row>
    <row r="369" spans="9:15" ht="12.75">
      <c r="I369" s="97" t="s">
        <v>2592</v>
      </c>
      <c r="J369" s="96"/>
      <c r="K369" s="28"/>
      <c r="L369" s="28"/>
      <c r="M369" s="276">
        <v>1.99</v>
      </c>
      <c r="N369" s="122"/>
      <c r="O369" s="24" t="s">
        <v>1145</v>
      </c>
    </row>
    <row r="370" spans="9:14" ht="12.75">
      <c r="I370" s="71"/>
      <c r="J370" s="61"/>
      <c r="K370" s="55"/>
      <c r="L370" s="6"/>
      <c r="M370" s="32"/>
      <c r="N370" s="7"/>
    </row>
    <row r="371" spans="9:13" ht="18">
      <c r="I371" s="355" t="s">
        <v>2093</v>
      </c>
      <c r="J371" s="61"/>
      <c r="K371" s="4"/>
      <c r="L371" s="1"/>
      <c r="M371" s="5"/>
    </row>
    <row r="372" spans="9:15" ht="12.75">
      <c r="I372" s="59" t="s">
        <v>1701</v>
      </c>
      <c r="J372" s="61"/>
      <c r="K372" s="59"/>
      <c r="L372" s="802"/>
      <c r="M372" s="276">
        <v>2.98</v>
      </c>
      <c r="N372" s="33"/>
      <c r="O372" s="88" t="s">
        <v>412</v>
      </c>
    </row>
    <row r="373" spans="9:15" ht="12.75">
      <c r="I373" s="59" t="s">
        <v>2095</v>
      </c>
      <c r="J373" s="61"/>
      <c r="K373" s="59"/>
      <c r="L373" s="802"/>
      <c r="M373" s="276">
        <v>2.99</v>
      </c>
      <c r="N373" s="33"/>
      <c r="O373" s="88" t="s">
        <v>1607</v>
      </c>
    </row>
    <row r="374" spans="9:15" ht="12.75">
      <c r="I374" s="97" t="s">
        <v>1770</v>
      </c>
      <c r="J374" s="61"/>
      <c r="K374" s="59"/>
      <c r="L374" s="1323" t="s">
        <v>1749</v>
      </c>
      <c r="M374" s="276">
        <v>2.99</v>
      </c>
      <c r="N374" s="33"/>
      <c r="O374" s="88" t="s">
        <v>3065</v>
      </c>
    </row>
    <row r="375" spans="9:15" ht="12.75">
      <c r="I375" s="40" t="s">
        <v>1229</v>
      </c>
      <c r="J375" s="61"/>
      <c r="K375" s="40"/>
      <c r="L375" s="497"/>
      <c r="M375" s="41">
        <v>3.99</v>
      </c>
      <c r="N375" s="33"/>
      <c r="O375" s="88" t="s">
        <v>2127</v>
      </c>
    </row>
    <row r="376" spans="9:15" ht="12.75">
      <c r="I376" s="40" t="s">
        <v>2137</v>
      </c>
      <c r="J376" s="61"/>
      <c r="K376" s="40"/>
      <c r="L376" s="497"/>
      <c r="M376" s="41">
        <v>3.99</v>
      </c>
      <c r="N376" s="33"/>
      <c r="O376" s="88" t="s">
        <v>289</v>
      </c>
    </row>
    <row r="377" spans="9:15" ht="12.75">
      <c r="I377" s="40" t="s">
        <v>1011</v>
      </c>
      <c r="J377" s="61"/>
      <c r="K377" s="40"/>
      <c r="L377" s="497"/>
      <c r="M377" s="41">
        <v>3.99</v>
      </c>
      <c r="N377" s="33"/>
      <c r="O377" s="88" t="s">
        <v>289</v>
      </c>
    </row>
    <row r="378" spans="9:15" ht="12.75">
      <c r="I378" s="2"/>
      <c r="J378" s="151"/>
      <c r="K378" s="31"/>
      <c r="L378" s="190"/>
      <c r="M378" s="190"/>
      <c r="N378" s="33"/>
      <c r="O378" s="88"/>
    </row>
    <row r="379" spans="9:13" ht="18">
      <c r="I379" s="284" t="s">
        <v>490</v>
      </c>
      <c r="J379" s="151"/>
      <c r="K379" s="4"/>
      <c r="L379" s="1"/>
      <c r="M379" s="102" t="s">
        <v>311</v>
      </c>
    </row>
    <row r="380" spans="9:15" ht="12.75">
      <c r="I380" s="109" t="s">
        <v>883</v>
      </c>
      <c r="J380" s="120"/>
      <c r="K380" s="120"/>
      <c r="L380" s="23"/>
      <c r="M380" s="774">
        <v>3</v>
      </c>
      <c r="N380" s="440" t="s">
        <v>281</v>
      </c>
      <c r="O380" s="88" t="s">
        <v>1308</v>
      </c>
    </row>
    <row r="381" spans="9:15" ht="12.75">
      <c r="I381" s="415" t="s">
        <v>882</v>
      </c>
      <c r="J381" s="968"/>
      <c r="K381" s="968">
        <v>21.08</v>
      </c>
      <c r="L381" s="114">
        <v>5</v>
      </c>
      <c r="M381" s="490">
        <f>K381/L381</f>
        <v>4.215999999999999</v>
      </c>
      <c r="N381" s="492"/>
      <c r="O381" s="88" t="s">
        <v>2808</v>
      </c>
    </row>
    <row r="382" spans="9:15" ht="12.75">
      <c r="I382" s="415" t="s">
        <v>3063</v>
      </c>
      <c r="J382" s="968"/>
      <c r="K382" s="968">
        <v>1.99</v>
      </c>
      <c r="L382" s="114">
        <v>2</v>
      </c>
      <c r="M382" s="969">
        <f>K382/L382</f>
        <v>0.995</v>
      </c>
      <c r="N382" s="492"/>
      <c r="O382" s="88" t="s">
        <v>2451</v>
      </c>
    </row>
    <row r="383" spans="9:15" ht="12.75">
      <c r="I383" s="147" t="s">
        <v>1321</v>
      </c>
      <c r="J383" s="162"/>
      <c r="K383" s="162">
        <v>1.99</v>
      </c>
      <c r="L383" s="149">
        <v>2</v>
      </c>
      <c r="M383" s="721">
        <f>K383/L383</f>
        <v>0.995</v>
      </c>
      <c r="N383" s="492" t="s">
        <v>1362</v>
      </c>
      <c r="O383" s="88" t="s">
        <v>412</v>
      </c>
    </row>
    <row r="384" spans="9:15" ht="12.75">
      <c r="I384" s="147" t="s">
        <v>3063</v>
      </c>
      <c r="J384" s="162"/>
      <c r="K384" s="162">
        <v>1.99</v>
      </c>
      <c r="L384" s="149">
        <v>2</v>
      </c>
      <c r="M384" s="721">
        <f>K384/L384</f>
        <v>0.995</v>
      </c>
      <c r="N384" s="492" t="s">
        <v>1362</v>
      </c>
      <c r="O384" s="88" t="s">
        <v>412</v>
      </c>
    </row>
    <row r="385" spans="9:15" ht="12.75">
      <c r="I385" s="147" t="s">
        <v>800</v>
      </c>
      <c r="J385" s="162"/>
      <c r="K385" s="162"/>
      <c r="L385" s="149"/>
      <c r="M385" s="721">
        <v>0.99</v>
      </c>
      <c r="N385" s="492" t="s">
        <v>1362</v>
      </c>
      <c r="O385" s="88" t="s">
        <v>637</v>
      </c>
    </row>
    <row r="386" spans="9:15" ht="12.75">
      <c r="I386" s="123" t="s">
        <v>800</v>
      </c>
      <c r="J386" s="162"/>
      <c r="K386" s="162"/>
      <c r="L386" s="149"/>
      <c r="M386" s="148">
        <v>1.99</v>
      </c>
      <c r="N386" s="7"/>
      <c r="O386" s="51" t="s">
        <v>637</v>
      </c>
    </row>
    <row r="387" spans="9:15" ht="12.75">
      <c r="I387" s="147" t="s">
        <v>1371</v>
      </c>
      <c r="J387" s="162"/>
      <c r="K387" s="162"/>
      <c r="L387" s="149"/>
      <c r="M387" s="721">
        <v>1.79</v>
      </c>
      <c r="N387" s="7"/>
      <c r="O387" s="88" t="s">
        <v>2768</v>
      </c>
    </row>
    <row r="388" spans="9:15" ht="12.75">
      <c r="I388" s="147" t="s">
        <v>273</v>
      </c>
      <c r="J388" s="162"/>
      <c r="K388" s="162">
        <v>2.79</v>
      </c>
      <c r="L388" s="149">
        <v>2</v>
      </c>
      <c r="M388" s="721">
        <f>K388/L388</f>
        <v>1.395</v>
      </c>
      <c r="N388" s="7"/>
      <c r="O388" s="88" t="s">
        <v>458</v>
      </c>
    </row>
    <row r="389" spans="9:15" ht="12.75">
      <c r="I389" s="147" t="s">
        <v>273</v>
      </c>
      <c r="J389" s="162"/>
      <c r="K389" s="162">
        <v>2.49</v>
      </c>
      <c r="L389" s="149">
        <v>2</v>
      </c>
      <c r="M389" s="721">
        <f>K389/L389</f>
        <v>1.245</v>
      </c>
      <c r="N389" s="7"/>
      <c r="O389" s="88" t="s">
        <v>2168</v>
      </c>
    </row>
    <row r="390" spans="9:15" ht="12.75">
      <c r="I390" s="147" t="s">
        <v>799</v>
      </c>
      <c r="J390" s="162"/>
      <c r="K390" s="162"/>
      <c r="L390" s="149"/>
      <c r="M390" s="721">
        <v>1.79</v>
      </c>
      <c r="N390" s="7"/>
      <c r="O390" s="88" t="s">
        <v>637</v>
      </c>
    </row>
    <row r="391" spans="9:15" ht="12.75">
      <c r="I391" s="123" t="s">
        <v>2452</v>
      </c>
      <c r="J391" s="162"/>
      <c r="K391" s="162"/>
      <c r="L391" s="149"/>
      <c r="M391" s="148">
        <v>1.99</v>
      </c>
      <c r="N391" s="7"/>
      <c r="O391" s="88" t="s">
        <v>637</v>
      </c>
    </row>
    <row r="392" spans="9:15" ht="12.75">
      <c r="I392" s="97" t="s">
        <v>312</v>
      </c>
      <c r="J392" s="61"/>
      <c r="K392" s="61"/>
      <c r="L392" s="42"/>
      <c r="M392" s="276">
        <v>2.49</v>
      </c>
      <c r="N392" s="7"/>
      <c r="O392" s="88" t="s">
        <v>412</v>
      </c>
    </row>
    <row r="393" spans="9:15" ht="12.75">
      <c r="I393" s="71" t="s">
        <v>2063</v>
      </c>
      <c r="J393" s="96"/>
      <c r="K393" s="96"/>
      <c r="L393" s="30"/>
      <c r="M393" s="116">
        <v>2.79</v>
      </c>
      <c r="N393" s="7"/>
      <c r="O393" s="88" t="s">
        <v>637</v>
      </c>
    </row>
    <row r="394" spans="9:15" ht="12.75">
      <c r="I394" s="147" t="s">
        <v>582</v>
      </c>
      <c r="J394" s="162"/>
      <c r="K394" s="162"/>
      <c r="L394" s="149"/>
      <c r="M394" s="721">
        <v>1.69</v>
      </c>
      <c r="N394" s="7"/>
      <c r="O394" s="88" t="s">
        <v>583</v>
      </c>
    </row>
    <row r="395" spans="9:15" ht="12.75">
      <c r="I395" s="109" t="s">
        <v>338</v>
      </c>
      <c r="J395" s="120"/>
      <c r="K395" s="120"/>
      <c r="L395" s="23"/>
      <c r="M395" s="774">
        <v>1.99</v>
      </c>
      <c r="N395" s="7"/>
      <c r="O395" s="88" t="s">
        <v>2337</v>
      </c>
    </row>
    <row r="396" spans="9:15" ht="12.75">
      <c r="I396" s="71" t="s">
        <v>338</v>
      </c>
      <c r="J396" s="96"/>
      <c r="K396" s="96"/>
      <c r="L396" s="30"/>
      <c r="M396" s="116">
        <v>2.49</v>
      </c>
      <c r="N396" s="7"/>
      <c r="O396" s="88" t="s">
        <v>1382</v>
      </c>
    </row>
    <row r="397" spans="9:15" ht="12.75">
      <c r="I397" s="40" t="s">
        <v>2318</v>
      </c>
      <c r="J397" s="96"/>
      <c r="K397" s="96"/>
      <c r="L397" s="30"/>
      <c r="M397" s="41">
        <v>3.49</v>
      </c>
      <c r="N397" s="122"/>
      <c r="O397" s="88" t="s">
        <v>2066</v>
      </c>
    </row>
    <row r="398" spans="9:15" ht="12.75">
      <c r="I398" s="415" t="s">
        <v>1882</v>
      </c>
      <c r="J398" s="968"/>
      <c r="K398" s="968">
        <v>1.69</v>
      </c>
      <c r="L398" s="114">
        <v>2</v>
      </c>
      <c r="M398" s="969">
        <f>K398/L398</f>
        <v>0.845</v>
      </c>
      <c r="N398" s="7"/>
      <c r="O398" s="88" t="s">
        <v>689</v>
      </c>
    </row>
    <row r="399" spans="9:15" ht="12.75">
      <c r="I399" s="2" t="s">
        <v>1123</v>
      </c>
      <c r="J399" s="61"/>
      <c r="K399" s="61"/>
      <c r="M399" s="41">
        <v>3.5</v>
      </c>
      <c r="N399" s="7"/>
      <c r="O399" s="88" t="s">
        <v>689</v>
      </c>
    </row>
    <row r="400" spans="2:15" s="42" customFormat="1" ht="12.75">
      <c r="B400" s="648"/>
      <c r="C400" s="648"/>
      <c r="D400" s="648"/>
      <c r="E400" s="795"/>
      <c r="F400" s="590"/>
      <c r="G400" s="648"/>
      <c r="H400" s="648"/>
      <c r="I400" s="97" t="s">
        <v>335</v>
      </c>
      <c r="J400" s="41"/>
      <c r="K400" s="61"/>
      <c r="M400" s="41">
        <v>2.99</v>
      </c>
      <c r="N400" s="492"/>
      <c r="O400" s="125" t="s">
        <v>1145</v>
      </c>
    </row>
    <row r="401" spans="9:15" ht="12.75">
      <c r="I401" s="97" t="s">
        <v>2462</v>
      </c>
      <c r="J401" s="96"/>
      <c r="K401" s="96"/>
      <c r="L401" s="30"/>
      <c r="M401" s="41">
        <v>2.49</v>
      </c>
      <c r="N401" s="7"/>
      <c r="O401" s="125" t="s">
        <v>1910</v>
      </c>
    </row>
    <row r="402" spans="9:15" ht="12.75">
      <c r="I402" s="59" t="s">
        <v>218</v>
      </c>
      <c r="J402" s="61"/>
      <c r="K402" s="61"/>
      <c r="M402" s="103">
        <f>2.49*0.5</f>
        <v>1.245</v>
      </c>
      <c r="N402" s="122" t="s">
        <v>1714</v>
      </c>
      <c r="O402" s="125" t="s">
        <v>1444</v>
      </c>
    </row>
    <row r="403" spans="9:15" ht="12.75">
      <c r="I403" s="59" t="s">
        <v>225</v>
      </c>
      <c r="J403" s="61"/>
      <c r="K403" s="61"/>
      <c r="M403" s="41">
        <v>2.49</v>
      </c>
      <c r="N403" s="7"/>
      <c r="O403" s="125" t="s">
        <v>1669</v>
      </c>
    </row>
    <row r="404" spans="9:15" ht="12.75">
      <c r="I404" s="71" t="s">
        <v>225</v>
      </c>
      <c r="J404" s="96"/>
      <c r="K404" s="96"/>
      <c r="L404" s="30"/>
      <c r="M404" s="29">
        <v>2.29</v>
      </c>
      <c r="N404" s="7"/>
      <c r="O404" s="125" t="s">
        <v>10</v>
      </c>
    </row>
    <row r="405" spans="1:15" ht="12.75">
      <c r="A405" s="927" t="e">
        <f>B405*B$4+C405*C$4+D405*D$4</f>
        <v>#VALUE!</v>
      </c>
      <c r="B405" s="195">
        <v>0.3</v>
      </c>
      <c r="C405" s="195">
        <v>11.4</v>
      </c>
      <c r="D405" s="195">
        <v>0.6</v>
      </c>
      <c r="E405" s="733" t="e">
        <f>(B405*B$3+C405*C$3+D405*D$3)*E$3</f>
        <v>#VALUE!</v>
      </c>
      <c r="F405" s="198">
        <v>221</v>
      </c>
      <c r="G405" s="195">
        <f>B405/F405*1000</f>
        <v>1.3574660633484161</v>
      </c>
      <c r="I405" s="31" t="s">
        <v>699</v>
      </c>
      <c r="J405" s="96"/>
      <c r="K405" s="96"/>
      <c r="L405" s="30"/>
      <c r="M405" s="5">
        <v>2.29</v>
      </c>
      <c r="N405" s="7"/>
      <c r="O405" s="88" t="s">
        <v>820</v>
      </c>
    </row>
    <row r="406" spans="1:15" ht="12.75">
      <c r="A406" s="927"/>
      <c r="I406" s="31"/>
      <c r="J406" s="61"/>
      <c r="K406" s="61"/>
      <c r="M406" s="5"/>
      <c r="N406" s="7"/>
      <c r="O406" s="88"/>
    </row>
    <row r="407" spans="1:15" ht="12.75">
      <c r="A407" s="927"/>
      <c r="I407" s="31"/>
      <c r="J407" s="61"/>
      <c r="K407" s="61"/>
      <c r="M407" s="5"/>
      <c r="N407" s="7"/>
      <c r="O407" s="88"/>
    </row>
    <row r="408" spans="1:15" ht="15.75">
      <c r="A408" s="927"/>
      <c r="I408" s="178" t="s">
        <v>2374</v>
      </c>
      <c r="J408" s="824"/>
      <c r="K408" s="61"/>
      <c r="M408" s="5"/>
      <c r="N408" s="895" t="s">
        <v>3046</v>
      </c>
      <c r="O408" s="88"/>
    </row>
    <row r="409" spans="1:15" ht="12.75">
      <c r="A409" s="927" t="e">
        <f>B409*B$4+C409*C$4+D409*D$4</f>
        <v>#VALUE!</v>
      </c>
      <c r="B409" s="195">
        <v>25</v>
      </c>
      <c r="C409" s="195">
        <v>11</v>
      </c>
      <c r="D409" s="195">
        <v>52</v>
      </c>
      <c r="E409" s="733"/>
      <c r="F409" s="198">
        <v>2558</v>
      </c>
      <c r="G409" s="195">
        <f>B409/F409*1000</f>
        <v>9.77326035965598</v>
      </c>
      <c r="H409" s="279"/>
      <c r="I409" s="6" t="s">
        <v>3187</v>
      </c>
      <c r="J409" s="1346"/>
      <c r="K409" s="55">
        <v>2.49</v>
      </c>
      <c r="L409" s="7">
        <v>500</v>
      </c>
      <c r="M409" s="16">
        <f>K409/L409*1000</f>
        <v>4.98</v>
      </c>
      <c r="N409" s="1347"/>
      <c r="O409" s="1557" t="s">
        <v>3188</v>
      </c>
    </row>
    <row r="410" spans="1:15" ht="12.75">
      <c r="A410" s="927" t="e">
        <f>B410*B$4+C410*C$4+D410*D$4</f>
        <v>#VALUE!</v>
      </c>
      <c r="B410" s="195">
        <v>26</v>
      </c>
      <c r="C410" s="195">
        <v>11</v>
      </c>
      <c r="D410" s="195">
        <v>51</v>
      </c>
      <c r="E410" s="733"/>
      <c r="F410" s="198">
        <v>2558</v>
      </c>
      <c r="G410" s="195">
        <f aca="true" t="shared" si="8" ref="G410:G418">B410/F410*1000</f>
        <v>10.16419077404222</v>
      </c>
      <c r="H410" s="279"/>
      <c r="I410" s="6" t="s">
        <v>3186</v>
      </c>
      <c r="J410" s="1346"/>
      <c r="K410" s="55">
        <v>2.79</v>
      </c>
      <c r="L410" s="7">
        <v>500</v>
      </c>
      <c r="M410" s="16">
        <f>K410/L410*1000</f>
        <v>5.58</v>
      </c>
      <c r="N410" s="1347"/>
      <c r="O410" s="1557" t="s">
        <v>3169</v>
      </c>
    </row>
    <row r="411" spans="1:15" ht="12.75">
      <c r="A411" s="927" t="e">
        <f aca="true" t="shared" si="9" ref="A411:A418">B411*B$4+C411*C$4+D411*D$4</f>
        <v>#VALUE!</v>
      </c>
      <c r="E411" s="733"/>
      <c r="H411" s="279"/>
      <c r="I411" s="1552" t="s">
        <v>986</v>
      </c>
      <c r="J411" s="1553"/>
      <c r="K411" s="1554">
        <v>0.79</v>
      </c>
      <c r="L411" s="1555">
        <v>200</v>
      </c>
      <c r="M411" s="1556">
        <f>K411/L411*1000</f>
        <v>3.95</v>
      </c>
      <c r="N411" s="1347"/>
      <c r="O411" s="88" t="s">
        <v>2177</v>
      </c>
    </row>
    <row r="412" spans="1:15" ht="12.75">
      <c r="A412" s="927" t="e">
        <f t="shared" si="9"/>
        <v>#VALUE!</v>
      </c>
      <c r="E412" s="733"/>
      <c r="H412" s="279"/>
      <c r="I412" s="1558" t="s">
        <v>3174</v>
      </c>
      <c r="J412" s="1346"/>
      <c r="K412" s="55">
        <v>5.99</v>
      </c>
      <c r="L412" s="7">
        <v>1000</v>
      </c>
      <c r="M412" s="16">
        <f>K412/L412*1000</f>
        <v>5.99</v>
      </c>
      <c r="N412" s="1347"/>
      <c r="O412" s="51" t="s">
        <v>3169</v>
      </c>
    </row>
    <row r="413" spans="1:15" ht="12.75">
      <c r="A413" s="927" t="e">
        <f>B413*B$4+C413*C$4+D413*D$4</f>
        <v>#VALUE!</v>
      </c>
      <c r="E413" s="733"/>
      <c r="H413" s="279"/>
      <c r="I413" s="1572" t="s">
        <v>248</v>
      </c>
      <c r="J413" s="1346"/>
      <c r="K413" s="55">
        <v>2.79</v>
      </c>
      <c r="L413" s="7">
        <v>500</v>
      </c>
      <c r="M413" s="16">
        <f>K413/L413*1000</f>
        <v>5.58</v>
      </c>
      <c r="N413" s="1347"/>
      <c r="O413" s="51" t="s">
        <v>3169</v>
      </c>
    </row>
    <row r="414" spans="1:15" ht="12.75">
      <c r="A414" s="927" t="e">
        <f t="shared" si="9"/>
        <v>#VALUE!</v>
      </c>
      <c r="B414" s="195">
        <v>26</v>
      </c>
      <c r="C414" s="195">
        <v>11</v>
      </c>
      <c r="D414" s="195">
        <v>51</v>
      </c>
      <c r="E414" s="733" t="e">
        <f>(B414*B$3+C414*C$3+D414*D$3)*E$3</f>
        <v>#VALUE!</v>
      </c>
      <c r="F414" s="198">
        <v>2540</v>
      </c>
      <c r="G414" s="195">
        <f t="shared" si="8"/>
        <v>10.236220472440944</v>
      </c>
      <c r="H414" s="279"/>
      <c r="I414" s="1468" t="s">
        <v>248</v>
      </c>
      <c r="J414" s="1549"/>
      <c r="K414" s="1550">
        <v>2.29</v>
      </c>
      <c r="L414" s="1471">
        <v>1000</v>
      </c>
      <c r="M414" s="1470">
        <f aca="true" t="shared" si="10" ref="M414:M419">K414/L414*1000</f>
        <v>2.29</v>
      </c>
      <c r="N414" s="1347" t="s">
        <v>1362</v>
      </c>
      <c r="O414" s="88" t="s">
        <v>1308</v>
      </c>
    </row>
    <row r="415" spans="1:15" ht="12.75">
      <c r="A415" s="927" t="e">
        <f t="shared" si="9"/>
        <v>#VALUE!</v>
      </c>
      <c r="B415" s="195">
        <v>26</v>
      </c>
      <c r="C415" s="195">
        <v>10</v>
      </c>
      <c r="D415" s="195">
        <v>51</v>
      </c>
      <c r="E415" s="733" t="e">
        <f>(B415*B$3+C415*C$3+D415*D$3)*E$3</f>
        <v>#VALUE!</v>
      </c>
      <c r="F415" s="198">
        <v>2552</v>
      </c>
      <c r="G415" s="195">
        <f t="shared" si="8"/>
        <v>10.18808777429467</v>
      </c>
      <c r="H415" s="279"/>
      <c r="I415" s="1468" t="s">
        <v>615</v>
      </c>
      <c r="J415" s="1549"/>
      <c r="K415" s="1550">
        <v>2.99</v>
      </c>
      <c r="L415" s="1471">
        <v>1000</v>
      </c>
      <c r="M415" s="1470">
        <f t="shared" si="10"/>
        <v>2.99</v>
      </c>
      <c r="O415" s="88" t="s">
        <v>848</v>
      </c>
    </row>
    <row r="416" spans="1:15" ht="12.75">
      <c r="A416" s="927" t="e">
        <f t="shared" si="9"/>
        <v>#VALUE!</v>
      </c>
      <c r="B416" s="195">
        <v>26</v>
      </c>
      <c r="C416" s="195">
        <v>10</v>
      </c>
      <c r="D416" s="195">
        <v>51</v>
      </c>
      <c r="E416" s="733" t="e">
        <f>(B416*B$3+C416*C$3+D416*D$3)*E$3</f>
        <v>#VALUE!</v>
      </c>
      <c r="F416" s="198">
        <v>2552</v>
      </c>
      <c r="G416" s="195">
        <f t="shared" si="8"/>
        <v>10.18808777429467</v>
      </c>
      <c r="H416" s="279"/>
      <c r="I416" s="1551" t="s">
        <v>615</v>
      </c>
      <c r="J416" s="1549"/>
      <c r="K416" s="1502">
        <v>3.99</v>
      </c>
      <c r="L416" s="1471">
        <v>1000</v>
      </c>
      <c r="M416" s="1470">
        <f t="shared" si="10"/>
        <v>3.9900000000000007</v>
      </c>
      <c r="N416" s="1347"/>
      <c r="O416" s="51" t="s">
        <v>848</v>
      </c>
    </row>
    <row r="417" spans="1:15" ht="12.75">
      <c r="A417" s="927" t="e">
        <f t="shared" si="9"/>
        <v>#VALUE!</v>
      </c>
      <c r="B417" s="195">
        <v>22</v>
      </c>
      <c r="C417" s="195">
        <v>13.2</v>
      </c>
      <c r="D417" s="195">
        <v>52.4</v>
      </c>
      <c r="E417" s="733" t="e">
        <f>(B417*B$3+C417*C$3+D417*D$3)*E$3</f>
        <v>#VALUE!</v>
      </c>
      <c r="F417" s="198">
        <v>2601</v>
      </c>
      <c r="G417" s="195">
        <f t="shared" si="8"/>
        <v>8.458285274894271</v>
      </c>
      <c r="H417" s="279"/>
      <c r="I417" s="1468" t="s">
        <v>2354</v>
      </c>
      <c r="J417" s="1549"/>
      <c r="K417" s="1550">
        <v>1.59</v>
      </c>
      <c r="L417" s="1471">
        <v>400</v>
      </c>
      <c r="M417" s="1470">
        <f t="shared" si="10"/>
        <v>3.975</v>
      </c>
      <c r="N417" s="945"/>
      <c r="O417" s="88" t="s">
        <v>848</v>
      </c>
    </row>
    <row r="418" spans="1:15" ht="12.75">
      <c r="A418" s="927" t="e">
        <f t="shared" si="9"/>
        <v>#VALUE!</v>
      </c>
      <c r="B418" s="195">
        <v>30</v>
      </c>
      <c r="C418" s="195">
        <v>7.5</v>
      </c>
      <c r="D418" s="195">
        <v>48</v>
      </c>
      <c r="E418" s="733" t="e">
        <f>(B418*B$3+C418*C$3+D418*D$3)*E$3</f>
        <v>#VALUE!</v>
      </c>
      <c r="F418" s="198">
        <v>2514</v>
      </c>
      <c r="G418" s="195">
        <f t="shared" si="8"/>
        <v>11.933174224343675</v>
      </c>
      <c r="H418" s="279"/>
      <c r="I418" s="97" t="s">
        <v>2191</v>
      </c>
      <c r="J418" s="835"/>
      <c r="K418" s="163">
        <v>2.29</v>
      </c>
      <c r="L418" s="42">
        <v>330</v>
      </c>
      <c r="M418" s="41">
        <f t="shared" si="10"/>
        <v>6.9393939393939394</v>
      </c>
      <c r="N418" s="945"/>
      <c r="O418" s="88" t="s">
        <v>2071</v>
      </c>
    </row>
    <row r="419" spans="1:15" ht="12.75">
      <c r="A419" s="927"/>
      <c r="I419" s="37" t="s">
        <v>3094</v>
      </c>
      <c r="J419" s="826"/>
      <c r="K419" s="61">
        <v>1.75</v>
      </c>
      <c r="L419" s="42">
        <v>200</v>
      </c>
      <c r="M419" s="41">
        <f t="shared" si="10"/>
        <v>8.75</v>
      </c>
      <c r="N419" s="895"/>
      <c r="O419" s="125" t="s">
        <v>1281</v>
      </c>
    </row>
    <row r="420" spans="1:15" ht="12.75">
      <c r="A420" s="927" t="e">
        <f aca="true" t="shared" si="11" ref="A420:A429">B420*B$4+C420*C$4+D420*D$4</f>
        <v>#VALUE!</v>
      </c>
      <c r="B420" s="195">
        <v>30.2</v>
      </c>
      <c r="C420" s="195">
        <v>7.5</v>
      </c>
      <c r="D420" s="195">
        <v>48.1</v>
      </c>
      <c r="E420" s="733" t="e">
        <f>(B420*B$3+C420*C$3+D420*D$3)*E$3</f>
        <v>#VALUE!</v>
      </c>
      <c r="F420" s="198">
        <v>2501</v>
      </c>
      <c r="G420" s="195">
        <f>B420/F420*1000</f>
        <v>12.075169932027189</v>
      </c>
      <c r="I420" s="97" t="s">
        <v>1291</v>
      </c>
      <c r="J420" s="835"/>
      <c r="K420" s="163">
        <v>6.49</v>
      </c>
      <c r="L420" s="42">
        <v>1000</v>
      </c>
      <c r="M420" s="41">
        <f aca="true" t="shared" si="12" ref="M420:M425">K420/L420*1000</f>
        <v>6.49</v>
      </c>
      <c r="N420" s="945">
        <f>M420/0.73</f>
        <v>8.890410958904111</v>
      </c>
      <c r="O420" s="88" t="s">
        <v>1792</v>
      </c>
    </row>
    <row r="421" spans="1:15" ht="12.75">
      <c r="A421" s="927" t="e">
        <f t="shared" si="11"/>
        <v>#VALUE!</v>
      </c>
      <c r="B421" s="195">
        <v>30.2</v>
      </c>
      <c r="C421" s="195">
        <v>7.5</v>
      </c>
      <c r="D421" s="195">
        <v>48.1</v>
      </c>
      <c r="E421" s="733" t="e">
        <f>(B421*B$3+C421*C$3+D421*D$3)*E$3</f>
        <v>#VALUE!</v>
      </c>
      <c r="F421" s="198">
        <v>2501</v>
      </c>
      <c r="G421" s="195">
        <f>B421/F421*1000</f>
        <v>12.075169932027189</v>
      </c>
      <c r="I421" s="71" t="s">
        <v>1746</v>
      </c>
      <c r="J421" s="836"/>
      <c r="K421" s="96">
        <f>5.79*0.99</f>
        <v>5.7321</v>
      </c>
      <c r="L421" s="30">
        <v>1000</v>
      </c>
      <c r="M421" s="29">
        <f t="shared" si="12"/>
        <v>5.7321</v>
      </c>
      <c r="N421" s="16"/>
      <c r="O421" s="88" t="s">
        <v>36</v>
      </c>
    </row>
    <row r="422" spans="1:15" ht="12.75">
      <c r="A422" s="927"/>
      <c r="I422" s="28" t="s">
        <v>2289</v>
      </c>
      <c r="J422" s="96">
        <v>3.19</v>
      </c>
      <c r="K422" s="96">
        <f>J422*0.97</f>
        <v>3.0943</v>
      </c>
      <c r="L422" s="30">
        <v>330</v>
      </c>
      <c r="M422" s="29">
        <f t="shared" si="12"/>
        <v>9.376666666666667</v>
      </c>
      <c r="N422" s="122"/>
      <c r="O422" s="88" t="s">
        <v>662</v>
      </c>
    </row>
    <row r="423" spans="1:15" ht="12.75">
      <c r="A423" s="927"/>
      <c r="I423" s="31" t="s">
        <v>1747</v>
      </c>
      <c r="J423" s="61">
        <v>2.69</v>
      </c>
      <c r="K423" s="5">
        <f>J423*0.99</f>
        <v>2.6631</v>
      </c>
      <c r="L423">
        <v>330</v>
      </c>
      <c r="M423" s="41">
        <f t="shared" si="12"/>
        <v>8.07</v>
      </c>
      <c r="N423" s="122"/>
      <c r="O423" s="88" t="s">
        <v>662</v>
      </c>
    </row>
    <row r="424" spans="1:15" ht="12.75">
      <c r="A424" s="927" t="e">
        <f t="shared" si="11"/>
        <v>#VALUE!</v>
      </c>
      <c r="B424" s="195">
        <v>26.3</v>
      </c>
      <c r="C424" s="195">
        <v>8.8</v>
      </c>
      <c r="D424" s="195">
        <v>51.3</v>
      </c>
      <c r="F424" s="198">
        <v>2473</v>
      </c>
      <c r="G424" s="195">
        <f aca="true" t="shared" si="13" ref="G424:G429">B424/F424*1000</f>
        <v>10.634856449656288</v>
      </c>
      <c r="I424" s="265" t="s">
        <v>781</v>
      </c>
      <c r="J424" s="819"/>
      <c r="K424" s="61">
        <f>K425*0.9</f>
        <v>0.87075</v>
      </c>
      <c r="L424">
        <v>150</v>
      </c>
      <c r="M424" s="276">
        <f t="shared" si="12"/>
        <v>5.805000000000001</v>
      </c>
      <c r="N424" s="820" t="s">
        <v>905</v>
      </c>
      <c r="O424" s="88" t="s">
        <v>354</v>
      </c>
    </row>
    <row r="425" spans="1:15" ht="12.75">
      <c r="A425" s="927" t="e">
        <f t="shared" si="11"/>
        <v>#VALUE!</v>
      </c>
      <c r="B425" s="195">
        <v>26.3</v>
      </c>
      <c r="C425" s="195">
        <v>8.8</v>
      </c>
      <c r="D425" s="195">
        <v>51.3</v>
      </c>
      <c r="F425" s="198">
        <v>2473</v>
      </c>
      <c r="G425" s="195">
        <f t="shared" si="13"/>
        <v>10.634856449656288</v>
      </c>
      <c r="I425" s="265" t="s">
        <v>926</v>
      </c>
      <c r="J425" s="944" t="s">
        <v>1440</v>
      </c>
      <c r="K425" s="61">
        <f>K426*0.75</f>
        <v>0.9675</v>
      </c>
      <c r="L425">
        <v>150</v>
      </c>
      <c r="M425" s="41">
        <f t="shared" si="12"/>
        <v>6.45</v>
      </c>
      <c r="N425" s="945">
        <f>M425/0.73</f>
        <v>8.835616438356166</v>
      </c>
      <c r="O425" s="125" t="s">
        <v>1094</v>
      </c>
    </row>
    <row r="426" spans="1:15" ht="12.75">
      <c r="A426" s="927" t="e">
        <f t="shared" si="11"/>
        <v>#VALUE!</v>
      </c>
      <c r="B426" s="195">
        <v>26.3</v>
      </c>
      <c r="C426" s="195">
        <v>8.8</v>
      </c>
      <c r="D426" s="195">
        <v>51.3</v>
      </c>
      <c r="F426" s="198">
        <v>2473</v>
      </c>
      <c r="G426" s="195">
        <f t="shared" si="13"/>
        <v>10.634856449656288</v>
      </c>
      <c r="I426" s="2" t="s">
        <v>926</v>
      </c>
      <c r="J426" s="819"/>
      <c r="K426" s="61">
        <v>1.29</v>
      </c>
      <c r="L426">
        <v>150</v>
      </c>
      <c r="M426" s="41">
        <f>K426/L426*1000</f>
        <v>8.6</v>
      </c>
      <c r="N426" s="122"/>
      <c r="O426" s="51" t="s">
        <v>354</v>
      </c>
    </row>
    <row r="427" spans="1:15" ht="12.75">
      <c r="A427" s="927" t="e">
        <f t="shared" si="11"/>
        <v>#VALUE!</v>
      </c>
      <c r="B427" s="195">
        <v>30.2</v>
      </c>
      <c r="C427" s="195">
        <v>7.5</v>
      </c>
      <c r="D427" s="195">
        <v>48.1</v>
      </c>
      <c r="E427" s="733" t="e">
        <f>(B427*B$3+C427*C$3+D427*D$3)*E$3</f>
        <v>#VALUE!</v>
      </c>
      <c r="F427" s="198">
        <v>2501</v>
      </c>
      <c r="G427" s="195">
        <f t="shared" si="13"/>
        <v>12.075169932027189</v>
      </c>
      <c r="I427" s="40" t="s">
        <v>1128</v>
      </c>
      <c r="J427" s="825"/>
      <c r="K427" s="61"/>
      <c r="M427" s="5">
        <v>7.9</v>
      </c>
      <c r="N427" s="16"/>
      <c r="O427" s="125" t="s">
        <v>2575</v>
      </c>
    </row>
    <row r="428" spans="1:15" ht="12.75">
      <c r="A428" s="927" t="e">
        <f t="shared" si="11"/>
        <v>#VALUE!</v>
      </c>
      <c r="B428" s="195">
        <v>26.3</v>
      </c>
      <c r="C428" s="195">
        <v>8.8</v>
      </c>
      <c r="D428" s="195">
        <v>51.3</v>
      </c>
      <c r="E428" s="733" t="e">
        <f>(B428*B$3+C428*C$3+D428*D$3)*E$3</f>
        <v>#VALUE!</v>
      </c>
      <c r="F428" s="198">
        <v>2473</v>
      </c>
      <c r="G428" s="195">
        <f t="shared" si="13"/>
        <v>10.634856449656288</v>
      </c>
      <c r="I428" s="28" t="s">
        <v>2259</v>
      </c>
      <c r="J428" s="825"/>
      <c r="K428" s="96">
        <v>1.19</v>
      </c>
      <c r="L428" s="28">
        <v>150</v>
      </c>
      <c r="M428" s="29">
        <f>K428/L428*1000</f>
        <v>7.933333333333332</v>
      </c>
      <c r="N428" s="16"/>
      <c r="O428" s="88" t="s">
        <v>2670</v>
      </c>
    </row>
    <row r="429" spans="1:15" ht="12.75">
      <c r="A429" s="927" t="e">
        <f t="shared" si="11"/>
        <v>#VALUE!</v>
      </c>
      <c r="B429" s="195">
        <v>26.3</v>
      </c>
      <c r="C429" s="195">
        <v>8.8</v>
      </c>
      <c r="D429" s="195">
        <v>51.3</v>
      </c>
      <c r="E429" s="733" t="e">
        <f>(B429*B$3+C429*C$3+D429*D$3)*E$3</f>
        <v>#VALUE!</v>
      </c>
      <c r="F429" s="198">
        <v>2473</v>
      </c>
      <c r="G429" s="195">
        <f t="shared" si="13"/>
        <v>10.634856449656288</v>
      </c>
      <c r="I429" s="71" t="s">
        <v>735</v>
      </c>
      <c r="J429" s="603"/>
      <c r="K429" s="96">
        <v>0.99</v>
      </c>
      <c r="L429" s="28">
        <v>250</v>
      </c>
      <c r="M429" s="29">
        <f>K429/L429*1000</f>
        <v>3.96</v>
      </c>
      <c r="N429" s="33"/>
      <c r="O429" s="88" t="s">
        <v>252</v>
      </c>
    </row>
    <row r="430" spans="1:15" ht="15.75">
      <c r="A430" s="927"/>
      <c r="I430" s="178" t="s">
        <v>3022</v>
      </c>
      <c r="J430" s="824"/>
      <c r="K430" s="61"/>
      <c r="M430" s="5"/>
      <c r="N430" s="895" t="s">
        <v>3046</v>
      </c>
      <c r="O430" s="88"/>
    </row>
    <row r="431" spans="1:15" ht="12.75">
      <c r="A431" s="927" t="e">
        <f>B431*B$4+C431*C$4+D431*D$4</f>
        <v>#VALUE!</v>
      </c>
      <c r="B431" s="195">
        <v>44.3</v>
      </c>
      <c r="C431" s="195">
        <v>48</v>
      </c>
      <c r="D431" s="195">
        <v>25</v>
      </c>
      <c r="E431" s="733" t="e">
        <f>(B431*B$3+C431*C$3+D431*D$3)*E$3</f>
        <v>#VALUE!</v>
      </c>
      <c r="F431" s="198">
        <v>1881</v>
      </c>
      <c r="G431" s="195">
        <f>B431/F431*1000</f>
        <v>23.551302498670918</v>
      </c>
      <c r="H431" s="279"/>
      <c r="I431" s="40" t="s">
        <v>3023</v>
      </c>
      <c r="J431" s="835"/>
      <c r="K431" s="61">
        <v>4.95</v>
      </c>
      <c r="L431" s="42">
        <v>300</v>
      </c>
      <c r="M431" s="41">
        <f>K431/L431*1000</f>
        <v>16.5</v>
      </c>
      <c r="N431" s="945"/>
      <c r="O431" s="88" t="s">
        <v>2451</v>
      </c>
    </row>
    <row r="432" spans="9:14" ht="12.75">
      <c r="I432" s="6"/>
      <c r="J432" s="55"/>
      <c r="K432" s="55"/>
      <c r="L432" s="6"/>
      <c r="M432" s="16"/>
      <c r="N432" s="7"/>
    </row>
    <row r="433" spans="9:15" ht="12.75">
      <c r="I433" s="40" t="s">
        <v>1851</v>
      </c>
      <c r="J433" s="61">
        <v>2.19</v>
      </c>
      <c r="K433" s="61">
        <f>J433*0.97</f>
        <v>2.1243</v>
      </c>
      <c r="L433">
        <v>500</v>
      </c>
      <c r="M433" s="5">
        <f>K433/L433*1000</f>
        <v>4.2486</v>
      </c>
      <c r="N433" s="7"/>
      <c r="O433" s="24" t="s">
        <v>2575</v>
      </c>
    </row>
    <row r="434" spans="9:15" ht="12.75">
      <c r="I434" s="40" t="s">
        <v>2009</v>
      </c>
      <c r="J434" s="61">
        <v>1.99</v>
      </c>
      <c r="K434" s="61">
        <f>J434*0.97</f>
        <v>1.9303</v>
      </c>
      <c r="L434">
        <v>800</v>
      </c>
      <c r="M434" s="5">
        <f>K434/L434*1000</f>
        <v>2.412875</v>
      </c>
      <c r="N434" s="7"/>
      <c r="O434" s="24" t="s">
        <v>2266</v>
      </c>
    </row>
    <row r="435" spans="9:14" ht="12.75">
      <c r="I435" s="6"/>
      <c r="J435" s="55"/>
      <c r="K435" s="55"/>
      <c r="L435" s="6"/>
      <c r="M435" s="16"/>
      <c r="N435" s="7"/>
    </row>
    <row r="436" spans="9:14" ht="15.75">
      <c r="I436" s="52" t="s">
        <v>1313</v>
      </c>
      <c r="J436" s="55"/>
      <c r="K436" s="55"/>
      <c r="L436" s="6"/>
      <c r="M436" s="16"/>
      <c r="N436" s="7"/>
    </row>
    <row r="437" spans="9:15" ht="12.75">
      <c r="I437" s="97" t="s">
        <v>1187</v>
      </c>
      <c r="J437" s="66"/>
      <c r="K437" s="66"/>
      <c r="L437" s="31"/>
      <c r="M437" s="32">
        <v>3.59</v>
      </c>
      <c r="N437" s="94"/>
      <c r="O437" s="24" t="s">
        <v>1910</v>
      </c>
    </row>
    <row r="438" spans="9:15" ht="12.75">
      <c r="I438" s="71" t="s">
        <v>1187</v>
      </c>
      <c r="J438" s="96"/>
      <c r="K438" s="96"/>
      <c r="L438" s="28"/>
      <c r="M438" s="29">
        <v>3.29</v>
      </c>
      <c r="N438" s="94"/>
      <c r="O438" s="24" t="s">
        <v>1286</v>
      </c>
    </row>
    <row r="439" spans="9:15" ht="12.75">
      <c r="I439" s="97" t="s">
        <v>205</v>
      </c>
      <c r="J439" s="66"/>
      <c r="K439" s="66"/>
      <c r="L439" s="31"/>
      <c r="M439" s="32">
        <v>2.99</v>
      </c>
      <c r="N439" s="94"/>
      <c r="O439" s="24" t="s">
        <v>1595</v>
      </c>
    </row>
    <row r="440" spans="9:14" ht="12.75">
      <c r="I440" s="119"/>
      <c r="J440" s="160"/>
      <c r="K440" s="160"/>
      <c r="L440" s="19"/>
      <c r="M440" s="18"/>
      <c r="N440" s="7"/>
    </row>
    <row r="441" spans="9:14" ht="12.75">
      <c r="I441" s="31"/>
      <c r="J441" s="66"/>
      <c r="K441" s="66"/>
      <c r="L441" s="31"/>
      <c r="M441" s="32"/>
      <c r="N441" s="94"/>
    </row>
    <row r="442" spans="9:14" ht="15.75">
      <c r="I442" s="178" t="s">
        <v>2606</v>
      </c>
      <c r="J442" s="55"/>
      <c r="K442" s="55"/>
      <c r="L442" s="6"/>
      <c r="M442" s="16"/>
      <c r="N442" s="7"/>
    </row>
    <row r="443" spans="2:15" ht="12.75">
      <c r="B443" s="1277">
        <v>2</v>
      </c>
      <c r="C443" s="1277">
        <v>16</v>
      </c>
      <c r="D443" s="1277">
        <v>0.1</v>
      </c>
      <c r="E443" s="1278"/>
      <c r="F443" s="1279">
        <v>297</v>
      </c>
      <c r="G443" s="1277">
        <f>B443/F443*1000</f>
        <v>6.7340067340067336</v>
      </c>
      <c r="H443" s="1212">
        <f>M443/F443*100000</f>
        <v>334.4556677890011</v>
      </c>
      <c r="I443" s="59" t="s">
        <v>536</v>
      </c>
      <c r="J443" s="192"/>
      <c r="K443" s="163">
        <v>1.49</v>
      </c>
      <c r="L443" s="97">
        <v>1500</v>
      </c>
      <c r="M443" s="484">
        <f>K443/L443*1000</f>
        <v>0.9933333333333333</v>
      </c>
      <c r="N443" s="20" t="s">
        <v>1957</v>
      </c>
      <c r="O443" s="448" t="s">
        <v>124</v>
      </c>
    </row>
    <row r="444" spans="2:15" ht="12.75">
      <c r="B444" s="1277">
        <v>2</v>
      </c>
      <c r="C444" s="1277">
        <v>16</v>
      </c>
      <c r="D444" s="1277">
        <v>0.1</v>
      </c>
      <c r="E444" s="1278"/>
      <c r="F444" s="1279">
        <v>297</v>
      </c>
      <c r="G444" s="1277">
        <f>B444/F444*1000</f>
        <v>6.7340067340067336</v>
      </c>
      <c r="H444" s="1212">
        <f>M444/F444*100000</f>
        <v>335.5780022446689</v>
      </c>
      <c r="I444" s="40" t="s">
        <v>2852</v>
      </c>
      <c r="J444" s="160"/>
      <c r="K444" s="61">
        <v>2.99</v>
      </c>
      <c r="L444" s="40">
        <v>3000</v>
      </c>
      <c r="M444" s="92">
        <f>K444/L444*1000</f>
        <v>0.9966666666666667</v>
      </c>
      <c r="N444" s="492"/>
      <c r="O444" s="448" t="s">
        <v>2402</v>
      </c>
    </row>
    <row r="445" spans="2:15" ht="12.75">
      <c r="B445" s="1277">
        <v>2</v>
      </c>
      <c r="C445" s="1277">
        <v>16</v>
      </c>
      <c r="D445" s="1277">
        <v>0.1</v>
      </c>
      <c r="E445" s="1278"/>
      <c r="F445" s="1279">
        <v>297</v>
      </c>
      <c r="G445" s="1277">
        <f>B445/F445*1000</f>
        <v>6.7340067340067336</v>
      </c>
      <c r="H445" s="1212">
        <f>M445/F445*100000</f>
        <v>446.68911335578</v>
      </c>
      <c r="I445" s="40" t="s">
        <v>2852</v>
      </c>
      <c r="J445" s="160"/>
      <c r="K445" s="61">
        <v>1.99</v>
      </c>
      <c r="L445" s="40">
        <v>1500</v>
      </c>
      <c r="M445" s="92">
        <f aca="true" t="shared" si="14" ref="M445:M450">K445/L445*1000</f>
        <v>1.3266666666666667</v>
      </c>
      <c r="N445" s="492"/>
      <c r="O445" s="448" t="s">
        <v>124</v>
      </c>
    </row>
    <row r="446" spans="2:15" ht="12.75">
      <c r="B446" s="1277"/>
      <c r="C446" s="1277"/>
      <c r="D446" s="1277"/>
      <c r="E446" s="1278"/>
      <c r="F446" s="1279"/>
      <c r="G446" s="1277"/>
      <c r="H446" s="1212"/>
      <c r="I446" s="15" t="s">
        <v>1994</v>
      </c>
      <c r="J446" s="55"/>
      <c r="K446" s="55">
        <v>1.29</v>
      </c>
      <c r="L446" s="6">
        <v>2000</v>
      </c>
      <c r="M446" s="129">
        <f t="shared" si="14"/>
        <v>0.645</v>
      </c>
      <c r="N446" s="426"/>
      <c r="O446" s="448" t="s">
        <v>2179</v>
      </c>
    </row>
    <row r="447" spans="2:15" ht="12.75">
      <c r="B447" s="1277">
        <v>2</v>
      </c>
      <c r="C447" s="1277">
        <v>16</v>
      </c>
      <c r="D447" s="1277">
        <v>0.1</v>
      </c>
      <c r="E447" s="1278"/>
      <c r="F447" s="1279">
        <v>297</v>
      </c>
      <c r="G447" s="1277">
        <f aca="true" t="shared" si="15" ref="G447:G457">B447/F447*1000</f>
        <v>6.7340067340067336</v>
      </c>
      <c r="H447" s="1212">
        <f aca="true" t="shared" si="16" ref="H447:H457">M447/F447*100000</f>
        <v>134.006734006734</v>
      </c>
      <c r="I447" s="147" t="s">
        <v>652</v>
      </c>
      <c r="J447" s="162"/>
      <c r="K447" s="162">
        <v>1.99</v>
      </c>
      <c r="L447" s="123">
        <v>5000</v>
      </c>
      <c r="M447" s="721">
        <f t="shared" si="14"/>
        <v>0.398</v>
      </c>
      <c r="N447" s="1326" t="s">
        <v>1362</v>
      </c>
      <c r="O447" s="448" t="s">
        <v>2168</v>
      </c>
    </row>
    <row r="448" spans="2:15" ht="12.75">
      <c r="B448" s="1277">
        <v>2</v>
      </c>
      <c r="C448" s="1277">
        <v>16</v>
      </c>
      <c r="D448" s="1277">
        <v>0.1</v>
      </c>
      <c r="E448" s="1278"/>
      <c r="F448" s="1279">
        <v>297</v>
      </c>
      <c r="G448" s="1277">
        <f t="shared" si="15"/>
        <v>6.7340067340067336</v>
      </c>
      <c r="H448" s="1212">
        <f t="shared" si="16"/>
        <v>187.87878787878788</v>
      </c>
      <c r="I448" s="147" t="s">
        <v>652</v>
      </c>
      <c r="J448" s="162"/>
      <c r="K448" s="162">
        <v>2.79</v>
      </c>
      <c r="L448" s="123">
        <v>5000</v>
      </c>
      <c r="M448" s="721">
        <f t="shared" si="14"/>
        <v>0.558</v>
      </c>
      <c r="N448" s="124"/>
      <c r="O448" s="448" t="s">
        <v>637</v>
      </c>
    </row>
    <row r="449" spans="2:15" ht="12.75">
      <c r="B449" s="1277">
        <v>2</v>
      </c>
      <c r="C449" s="1277">
        <v>16</v>
      </c>
      <c r="D449" s="1277">
        <v>0.1</v>
      </c>
      <c r="E449" s="1278"/>
      <c r="F449" s="1279">
        <v>297</v>
      </c>
      <c r="G449" s="1277">
        <f t="shared" si="15"/>
        <v>6.7340067340067336</v>
      </c>
      <c r="H449" s="1212">
        <f t="shared" si="16"/>
        <v>217.17171717171718</v>
      </c>
      <c r="I449" s="147" t="s">
        <v>1810</v>
      </c>
      <c r="J449" s="162"/>
      <c r="K449" s="162">
        <v>1.29</v>
      </c>
      <c r="L449" s="123">
        <v>2000</v>
      </c>
      <c r="M449" s="721">
        <f t="shared" si="14"/>
        <v>0.645</v>
      </c>
      <c r="N449" s="124"/>
      <c r="O449" s="716" t="s">
        <v>637</v>
      </c>
    </row>
    <row r="450" spans="2:15" ht="12.75">
      <c r="B450" s="1277">
        <v>2</v>
      </c>
      <c r="C450" s="1277">
        <v>16</v>
      </c>
      <c r="D450" s="1277">
        <v>0.1</v>
      </c>
      <c r="E450" s="1278"/>
      <c r="F450" s="1279">
        <v>297</v>
      </c>
      <c r="G450" s="1277">
        <f t="shared" si="15"/>
        <v>6.7340067340067336</v>
      </c>
      <c r="H450" s="1212">
        <f t="shared" si="16"/>
        <v>217.17171717171718</v>
      </c>
      <c r="I450" s="147" t="s">
        <v>1231</v>
      </c>
      <c r="J450" s="162"/>
      <c r="K450" s="162">
        <v>1.29</v>
      </c>
      <c r="L450" s="123">
        <v>2000</v>
      </c>
      <c r="M450" s="721">
        <f t="shared" si="14"/>
        <v>0.645</v>
      </c>
      <c r="N450" s="124"/>
      <c r="O450" s="716" t="s">
        <v>637</v>
      </c>
    </row>
    <row r="451" spans="2:15" ht="12.75">
      <c r="B451" s="1277">
        <v>2</v>
      </c>
      <c r="C451" s="1277">
        <v>16</v>
      </c>
      <c r="D451" s="1277">
        <v>0.1</v>
      </c>
      <c r="E451" s="1278"/>
      <c r="F451" s="1279">
        <v>297</v>
      </c>
      <c r="G451" s="1277">
        <f t="shared" si="15"/>
        <v>6.7340067340067336</v>
      </c>
      <c r="H451" s="1212">
        <f t="shared" si="16"/>
        <v>334.4556677890011</v>
      </c>
      <c r="I451" s="60" t="s">
        <v>1474</v>
      </c>
      <c r="J451" s="160"/>
      <c r="K451" s="61">
        <v>1.49</v>
      </c>
      <c r="L451" s="40">
        <v>1500</v>
      </c>
      <c r="M451" s="92">
        <f aca="true" t="shared" si="17" ref="M451:M456">K451/L451*1000</f>
        <v>0.9933333333333333</v>
      </c>
      <c r="N451" s="20" t="s">
        <v>1957</v>
      </c>
      <c r="O451" s="24" t="s">
        <v>890</v>
      </c>
    </row>
    <row r="452" spans="2:15" ht="12.75">
      <c r="B452" s="1277">
        <v>2</v>
      </c>
      <c r="C452" s="1277">
        <v>16</v>
      </c>
      <c r="D452" s="1277">
        <v>0.1</v>
      </c>
      <c r="E452" s="1278"/>
      <c r="F452" s="1279">
        <v>297</v>
      </c>
      <c r="G452" s="1277">
        <f t="shared" si="15"/>
        <v>6.7340067340067336</v>
      </c>
      <c r="H452" s="1212">
        <f t="shared" si="16"/>
        <v>491.58249158249157</v>
      </c>
      <c r="I452" s="40" t="s">
        <v>1474</v>
      </c>
      <c r="J452" s="160"/>
      <c r="K452" s="61">
        <v>2.19</v>
      </c>
      <c r="L452" s="40">
        <v>1500</v>
      </c>
      <c r="M452" s="92">
        <f t="shared" si="17"/>
        <v>1.46</v>
      </c>
      <c r="N452" s="492"/>
      <c r="O452" s="24" t="s">
        <v>890</v>
      </c>
    </row>
    <row r="453" spans="2:15" ht="12.75">
      <c r="B453" s="1277">
        <v>2</v>
      </c>
      <c r="C453" s="1277">
        <v>16</v>
      </c>
      <c r="D453" s="1277">
        <v>0.1</v>
      </c>
      <c r="E453" s="1278"/>
      <c r="F453" s="1279">
        <v>297</v>
      </c>
      <c r="G453" s="1277">
        <f t="shared" si="15"/>
        <v>6.7340067340067336</v>
      </c>
      <c r="H453" s="1212">
        <f t="shared" si="16"/>
        <v>368.68686868686865</v>
      </c>
      <c r="I453" s="40" t="s">
        <v>2474</v>
      </c>
      <c r="J453" s="160"/>
      <c r="K453" s="61">
        <f>K454*0.75</f>
        <v>1.6425</v>
      </c>
      <c r="L453" s="40">
        <v>1500</v>
      </c>
      <c r="M453" s="92">
        <f t="shared" si="17"/>
        <v>1.095</v>
      </c>
      <c r="N453" s="492" t="s">
        <v>2698</v>
      </c>
      <c r="O453" s="716" t="s">
        <v>890</v>
      </c>
    </row>
    <row r="454" spans="2:15" ht="12.75">
      <c r="B454" s="1277">
        <v>2</v>
      </c>
      <c r="C454" s="1277">
        <v>16</v>
      </c>
      <c r="D454" s="1277">
        <v>0.1</v>
      </c>
      <c r="E454" s="1278"/>
      <c r="F454" s="1279">
        <v>297</v>
      </c>
      <c r="G454" s="1277">
        <f t="shared" si="15"/>
        <v>6.7340067340067336</v>
      </c>
      <c r="H454" s="1212">
        <f t="shared" si="16"/>
        <v>491.58249158249157</v>
      </c>
      <c r="I454" s="40" t="s">
        <v>2474</v>
      </c>
      <c r="J454" s="160"/>
      <c r="K454" s="61">
        <v>2.19</v>
      </c>
      <c r="L454" s="40">
        <v>1500</v>
      </c>
      <c r="M454" s="92">
        <f t="shared" si="17"/>
        <v>1.46</v>
      </c>
      <c r="N454" s="492"/>
      <c r="O454" s="24" t="s">
        <v>637</v>
      </c>
    </row>
    <row r="455" spans="2:15" ht="12.75">
      <c r="B455" s="1277">
        <v>2</v>
      </c>
      <c r="C455" s="1277">
        <v>16</v>
      </c>
      <c r="D455" s="1277">
        <v>0.1</v>
      </c>
      <c r="E455" s="1278"/>
      <c r="F455" s="1279">
        <v>297</v>
      </c>
      <c r="G455" s="1277">
        <f t="shared" si="15"/>
        <v>6.7340067340067336</v>
      </c>
      <c r="H455" s="1212">
        <f t="shared" si="16"/>
        <v>446.68911335578</v>
      </c>
      <c r="I455" s="28" t="s">
        <v>2474</v>
      </c>
      <c r="J455" s="96"/>
      <c r="K455" s="96">
        <v>1.99</v>
      </c>
      <c r="L455" s="28">
        <v>1500</v>
      </c>
      <c r="M455" s="29">
        <f t="shared" si="17"/>
        <v>1.3266666666666667</v>
      </c>
      <c r="N455" s="492"/>
      <c r="O455" s="24" t="s">
        <v>2468</v>
      </c>
    </row>
    <row r="456" spans="2:15" ht="12.75">
      <c r="B456" s="1277">
        <v>2</v>
      </c>
      <c r="C456" s="1277">
        <v>16</v>
      </c>
      <c r="D456" s="1277">
        <v>0.1</v>
      </c>
      <c r="E456" s="1278"/>
      <c r="F456" s="1279">
        <v>297</v>
      </c>
      <c r="G456" s="1277">
        <f t="shared" si="15"/>
        <v>6.7340067340067336</v>
      </c>
      <c r="H456" s="1212">
        <f t="shared" si="16"/>
        <v>425.3647586980921</v>
      </c>
      <c r="I456" s="60" t="s">
        <v>2579</v>
      </c>
      <c r="J456" s="160"/>
      <c r="K456" s="61">
        <v>3.79</v>
      </c>
      <c r="L456" s="40">
        <v>3000</v>
      </c>
      <c r="M456" s="484">
        <f t="shared" si="17"/>
        <v>1.2633333333333334</v>
      </c>
      <c r="N456" s="492"/>
      <c r="O456" s="24" t="s">
        <v>754</v>
      </c>
    </row>
    <row r="457" spans="2:15" ht="12.75">
      <c r="B457" s="1277">
        <v>2</v>
      </c>
      <c r="C457" s="1277">
        <v>16</v>
      </c>
      <c r="D457" s="1277">
        <v>0.1</v>
      </c>
      <c r="E457" s="1278"/>
      <c r="F457" s="1279">
        <v>297</v>
      </c>
      <c r="G457" s="1277">
        <f t="shared" si="15"/>
        <v>6.7340067340067336</v>
      </c>
      <c r="H457" s="1212">
        <f t="shared" si="16"/>
        <v>468.013468013468</v>
      </c>
      <c r="I457" s="59" t="s">
        <v>1061</v>
      </c>
      <c r="J457" s="160"/>
      <c r="K457" s="160"/>
      <c r="L457" s="17"/>
      <c r="M457" s="852">
        <v>1.39</v>
      </c>
      <c r="N457" s="492"/>
      <c r="O457" s="24" t="s">
        <v>1458</v>
      </c>
    </row>
    <row r="458" spans="9:15" ht="12.75">
      <c r="I458" s="71" t="s">
        <v>147</v>
      </c>
      <c r="J458" s="96"/>
      <c r="K458" s="96">
        <v>1.99</v>
      </c>
      <c r="L458" s="28">
        <v>1500</v>
      </c>
      <c r="M458" s="116">
        <f>K458/L458*1000</f>
        <v>1.3266666666666667</v>
      </c>
      <c r="N458" s="492"/>
      <c r="O458" s="24" t="s">
        <v>1223</v>
      </c>
    </row>
    <row r="459" spans="9:15" ht="12.75">
      <c r="I459" s="71" t="s">
        <v>2474</v>
      </c>
      <c r="J459" s="96"/>
      <c r="K459" s="96">
        <v>2.19</v>
      </c>
      <c r="L459" s="28">
        <v>1500</v>
      </c>
      <c r="M459" s="116">
        <f>K459/L459*1000</f>
        <v>1.46</v>
      </c>
      <c r="N459" s="492"/>
      <c r="O459" s="24" t="s">
        <v>2488</v>
      </c>
    </row>
    <row r="460" spans="9:15" ht="12.75">
      <c r="I460" s="71" t="s">
        <v>2474</v>
      </c>
      <c r="J460" s="96"/>
      <c r="K460" s="96">
        <v>1.99</v>
      </c>
      <c r="L460" s="28">
        <v>1500</v>
      </c>
      <c r="M460" s="116">
        <f>K460/L460*1000</f>
        <v>1.3266666666666667</v>
      </c>
      <c r="N460" s="492"/>
      <c r="O460" s="24" t="s">
        <v>662</v>
      </c>
    </row>
    <row r="461" spans="9:15" ht="12.75">
      <c r="I461" s="71" t="s">
        <v>2474</v>
      </c>
      <c r="J461" s="719"/>
      <c r="K461" s="96">
        <v>1.49</v>
      </c>
      <c r="L461" s="28">
        <v>1500</v>
      </c>
      <c r="M461" s="116">
        <f>K461/L461*1000</f>
        <v>0.9933333333333333</v>
      </c>
      <c r="N461" s="492"/>
      <c r="O461" s="24" t="s">
        <v>2054</v>
      </c>
    </row>
    <row r="462" spans="9:15" ht="12.75">
      <c r="I462" s="71" t="s">
        <v>2474</v>
      </c>
      <c r="J462" s="96"/>
      <c r="K462" s="96">
        <v>1.69</v>
      </c>
      <c r="L462" s="28">
        <v>1500</v>
      </c>
      <c r="M462" s="116">
        <f>K462/L462*1000</f>
        <v>1.1266666666666667</v>
      </c>
      <c r="N462" s="492"/>
      <c r="O462" s="24" t="s">
        <v>337</v>
      </c>
    </row>
    <row r="463" spans="9:15" ht="12.75">
      <c r="I463" s="71" t="s">
        <v>1541</v>
      </c>
      <c r="J463" s="96">
        <v>1.29</v>
      </c>
      <c r="K463" s="96"/>
      <c r="L463" s="28"/>
      <c r="M463" s="116">
        <f>J463*0.98</f>
        <v>1.2642</v>
      </c>
      <c r="N463" s="492"/>
      <c r="O463" s="24" t="s">
        <v>2054</v>
      </c>
    </row>
    <row r="464" spans="9:15" ht="12.75">
      <c r="I464" s="59" t="s">
        <v>365</v>
      </c>
      <c r="J464" s="161"/>
      <c r="K464" s="161">
        <v>1.69</v>
      </c>
      <c r="L464" s="444">
        <v>1500</v>
      </c>
      <c r="M464" s="484">
        <f>K464/L464*1000</f>
        <v>1.1266666666666667</v>
      </c>
      <c r="N464" s="492"/>
      <c r="O464" s="24" t="s">
        <v>2670</v>
      </c>
    </row>
    <row r="465" spans="9:15" ht="12.75">
      <c r="I465" s="28" t="s">
        <v>2953</v>
      </c>
      <c r="J465" s="158"/>
      <c r="K465" s="158"/>
      <c r="L465" s="71"/>
      <c r="M465" s="116">
        <v>0.99</v>
      </c>
      <c r="N465" s="268"/>
      <c r="O465" s="24" t="s">
        <v>551</v>
      </c>
    </row>
    <row r="466" spans="1:14" ht="12.75">
      <c r="A466" s="927"/>
      <c r="E466" s="733"/>
      <c r="F466" s="389"/>
      <c r="I466" s="37"/>
      <c r="J466" s="38"/>
      <c r="K466" s="38"/>
      <c r="L466" s="37"/>
      <c r="M466" s="25"/>
      <c r="N466" s="7"/>
    </row>
    <row r="467" spans="9:15" ht="12.75">
      <c r="I467" s="37"/>
      <c r="J467" s="38"/>
      <c r="K467" s="38"/>
      <c r="L467" s="37"/>
      <c r="M467" s="25"/>
      <c r="N467" s="7"/>
      <c r="O467" s="88"/>
    </row>
    <row r="468" spans="6:14" ht="15.75">
      <c r="F468" s="810" t="s">
        <v>2136</v>
      </c>
      <c r="I468" s="176" t="s">
        <v>2932</v>
      </c>
      <c r="J468" s="66"/>
      <c r="K468" s="66"/>
      <c r="L468" s="31"/>
      <c r="M468" s="32"/>
      <c r="N468" s="94"/>
    </row>
    <row r="469" spans="9:15" ht="12.75">
      <c r="I469" s="97" t="s">
        <v>2187</v>
      </c>
      <c r="J469" s="66"/>
      <c r="K469" s="66"/>
      <c r="L469" s="31"/>
      <c r="M469" s="32">
        <v>4.49</v>
      </c>
      <c r="N469" s="94"/>
      <c r="O469" s="24" t="s">
        <v>2065</v>
      </c>
    </row>
    <row r="470" spans="9:15" ht="12.75">
      <c r="I470" s="71" t="s">
        <v>2183</v>
      </c>
      <c r="J470" s="96"/>
      <c r="K470" s="96"/>
      <c r="L470" s="28"/>
      <c r="M470" s="29">
        <v>2.99</v>
      </c>
      <c r="N470" s="94"/>
      <c r="O470" s="24" t="s">
        <v>1738</v>
      </c>
    </row>
    <row r="471" spans="9:15" ht="12.75">
      <c r="I471" s="97" t="s">
        <v>798</v>
      </c>
      <c r="J471" s="66"/>
      <c r="K471" s="66"/>
      <c r="L471" s="31"/>
      <c r="M471" s="32">
        <v>3.99</v>
      </c>
      <c r="N471" s="94"/>
      <c r="O471" s="24" t="s">
        <v>1382</v>
      </c>
    </row>
    <row r="472" spans="9:15" ht="12.75">
      <c r="I472" s="109" t="s">
        <v>798</v>
      </c>
      <c r="J472" s="120"/>
      <c r="K472" s="120"/>
      <c r="L472" s="21"/>
      <c r="M472" s="22">
        <v>3.79</v>
      </c>
      <c r="N472" s="94"/>
      <c r="O472" s="24" t="s">
        <v>1792</v>
      </c>
    </row>
    <row r="473" spans="9:15" ht="12.75">
      <c r="I473" s="109" t="s">
        <v>798</v>
      </c>
      <c r="J473" s="120"/>
      <c r="K473" s="120"/>
      <c r="L473" s="21"/>
      <c r="M473" s="22">
        <v>2.99</v>
      </c>
      <c r="N473" s="94"/>
      <c r="O473" s="24" t="s">
        <v>1868</v>
      </c>
    </row>
    <row r="474" spans="9:15" ht="12.75">
      <c r="I474" s="112" t="s">
        <v>461</v>
      </c>
      <c r="J474" s="66"/>
      <c r="K474" s="66"/>
      <c r="L474" s="31"/>
      <c r="M474" s="32">
        <v>1.99</v>
      </c>
      <c r="N474" s="94"/>
      <c r="O474" s="24" t="s">
        <v>2986</v>
      </c>
    </row>
    <row r="475" spans="9:14" ht="12.75">
      <c r="I475" s="31"/>
      <c r="J475" s="66"/>
      <c r="K475" s="66"/>
      <c r="L475" s="31"/>
      <c r="M475" s="32"/>
      <c r="N475" s="94"/>
    </row>
    <row r="476" spans="9:16" ht="15.75">
      <c r="I476" s="424" t="s">
        <v>1003</v>
      </c>
      <c r="J476" s="151"/>
      <c r="K476" s="66"/>
      <c r="L476" s="31"/>
      <c r="M476" s="32"/>
      <c r="N476" s="7"/>
      <c r="P476" s="52" t="s">
        <v>3079</v>
      </c>
    </row>
    <row r="477" spans="9:15" ht="12.75">
      <c r="I477" s="71" t="s">
        <v>731</v>
      </c>
      <c r="J477" s="96"/>
      <c r="K477" s="96"/>
      <c r="L477" s="30"/>
      <c r="M477" s="41">
        <v>2.49</v>
      </c>
      <c r="N477" s="267"/>
      <c r="O477" s="24" t="s">
        <v>2463</v>
      </c>
    </row>
    <row r="478" spans="9:15" ht="12.75">
      <c r="I478" s="71" t="s">
        <v>730</v>
      </c>
      <c r="J478" s="96"/>
      <c r="K478" s="96"/>
      <c r="L478" s="30"/>
      <c r="M478" s="41">
        <v>2.79</v>
      </c>
      <c r="N478" s="267"/>
      <c r="O478" s="24" t="s">
        <v>2463</v>
      </c>
    </row>
    <row r="479" spans="9:15" ht="12.75">
      <c r="I479" s="265" t="s">
        <v>2692</v>
      </c>
      <c r="J479" s="160"/>
      <c r="K479" s="160"/>
      <c r="L479" s="19"/>
      <c r="M479" s="41">
        <v>1.79</v>
      </c>
      <c r="N479" s="267"/>
      <c r="O479" s="24" t="s">
        <v>689</v>
      </c>
    </row>
    <row r="480" spans="9:15" ht="12.75">
      <c r="I480" s="71" t="s">
        <v>2121</v>
      </c>
      <c r="J480" s="96"/>
      <c r="K480" s="96"/>
      <c r="L480" s="30"/>
      <c r="M480" s="29">
        <v>1.59</v>
      </c>
      <c r="N480" s="267"/>
      <c r="O480" s="24" t="s">
        <v>2120</v>
      </c>
    </row>
    <row r="481" spans="9:15" ht="14.25">
      <c r="I481" s="71" t="s">
        <v>2556</v>
      </c>
      <c r="J481" s="96"/>
      <c r="K481" s="96"/>
      <c r="L481" s="30"/>
      <c r="M481" s="29">
        <v>2.59</v>
      </c>
      <c r="N481" s="267"/>
      <c r="O481" s="24" t="s">
        <v>36</v>
      </c>
    </row>
    <row r="482" spans="9:15" ht="14.25">
      <c r="I482" s="71" t="s">
        <v>2074</v>
      </c>
      <c r="J482" s="96"/>
      <c r="K482" s="96"/>
      <c r="L482" s="30"/>
      <c r="M482" s="29">
        <v>1.99</v>
      </c>
      <c r="N482" s="267"/>
      <c r="O482" s="24" t="s">
        <v>2670</v>
      </c>
    </row>
    <row r="483" spans="9:14" ht="12.75">
      <c r="I483" s="71"/>
      <c r="J483" s="96"/>
      <c r="K483" s="96"/>
      <c r="L483" s="30"/>
      <c r="M483" s="29"/>
      <c r="N483" s="267"/>
    </row>
    <row r="484" spans="9:14" ht="12.75">
      <c r="I484" s="40"/>
      <c r="J484" s="61"/>
      <c r="K484" s="61"/>
      <c r="L484" s="40"/>
      <c r="M484" s="41"/>
      <c r="N484" s="7"/>
    </row>
    <row r="485" spans="9:14" ht="18">
      <c r="I485" s="284" t="s">
        <v>1105</v>
      </c>
      <c r="J485" s="61"/>
      <c r="K485" s="61"/>
      <c r="L485" s="40"/>
      <c r="M485" s="41"/>
      <c r="N485" s="7"/>
    </row>
    <row r="486" spans="9:15" ht="12.75">
      <c r="I486" s="15" t="s">
        <v>1106</v>
      </c>
      <c r="J486" s="152"/>
      <c r="K486" s="152"/>
      <c r="L486" s="128"/>
      <c r="M486" s="129">
        <v>0.99</v>
      </c>
      <c r="N486" s="267"/>
      <c r="O486" s="24" t="s">
        <v>637</v>
      </c>
    </row>
    <row r="487" spans="9:15" ht="12.75">
      <c r="I487" s="97" t="s">
        <v>2786</v>
      </c>
      <c r="J487" s="61"/>
      <c r="K487" s="61">
        <v>1.69</v>
      </c>
      <c r="L487" s="42">
        <v>600</v>
      </c>
      <c r="M487" s="41">
        <f>K487/L487*1000</f>
        <v>2.8166666666666664</v>
      </c>
      <c r="N487" s="267"/>
      <c r="O487" s="24" t="s">
        <v>754</v>
      </c>
    </row>
    <row r="488" spans="9:14" ht="12.75">
      <c r="I488" s="40"/>
      <c r="J488" s="61"/>
      <c r="K488" s="61"/>
      <c r="L488" s="40"/>
      <c r="M488" s="41"/>
      <c r="N488" s="7"/>
    </row>
    <row r="489" spans="9:14" ht="18">
      <c r="I489" s="284" t="s">
        <v>1473</v>
      </c>
      <c r="J489" s="61"/>
      <c r="K489" s="61"/>
      <c r="L489" s="40"/>
      <c r="M489" s="41"/>
      <c r="N489" s="7"/>
    </row>
    <row r="490" spans="9:16" ht="12.75">
      <c r="I490" s="59" t="s">
        <v>1474</v>
      </c>
      <c r="J490" s="96"/>
      <c r="K490" s="61">
        <v>1.35</v>
      </c>
      <c r="L490" s="42">
        <v>450</v>
      </c>
      <c r="M490" s="41">
        <f>K490/L490*1000</f>
        <v>3</v>
      </c>
      <c r="N490" s="267" t="s">
        <v>2697</v>
      </c>
      <c r="O490" s="24" t="s">
        <v>2168</v>
      </c>
      <c r="P490" s="607" t="s">
        <v>638</v>
      </c>
    </row>
    <row r="491" spans="9:15" ht="12.75">
      <c r="I491" s="60" t="s">
        <v>1474</v>
      </c>
      <c r="J491" s="96"/>
      <c r="K491" s="61">
        <v>1.69</v>
      </c>
      <c r="L491" s="42">
        <v>450</v>
      </c>
      <c r="M491" s="41">
        <f>K491/L491*1000</f>
        <v>3.7555555555555555</v>
      </c>
      <c r="N491" s="267"/>
      <c r="O491" s="716" t="s">
        <v>2168</v>
      </c>
    </row>
    <row r="492" spans="9:15" ht="12.75">
      <c r="I492" s="71" t="s">
        <v>1474</v>
      </c>
      <c r="J492" s="96"/>
      <c r="K492" s="96">
        <v>1.52</v>
      </c>
      <c r="L492" s="30">
        <v>450</v>
      </c>
      <c r="M492" s="29">
        <f>K492/L492*1000</f>
        <v>3.3777777777777778</v>
      </c>
      <c r="N492" s="267"/>
      <c r="O492" s="24" t="s">
        <v>637</v>
      </c>
    </row>
    <row r="493" spans="9:15" ht="12.75">
      <c r="I493" s="60" t="s">
        <v>1528</v>
      </c>
      <c r="J493" s="96"/>
      <c r="K493" s="61">
        <v>1.59</v>
      </c>
      <c r="L493" s="42">
        <v>450</v>
      </c>
      <c r="M493" s="41">
        <f>K493/L493*1000</f>
        <v>3.5333333333333337</v>
      </c>
      <c r="N493" s="267"/>
      <c r="O493" s="24" t="s">
        <v>2455</v>
      </c>
    </row>
    <row r="494" spans="9:14" ht="12.75">
      <c r="I494" s="40"/>
      <c r="J494" s="61"/>
      <c r="K494" s="61"/>
      <c r="L494" s="40"/>
      <c r="M494" s="41"/>
      <c r="N494" s="7"/>
    </row>
    <row r="495" spans="9:14" ht="18">
      <c r="I495" s="284" t="s">
        <v>519</v>
      </c>
      <c r="J495" s="61"/>
      <c r="K495" s="61"/>
      <c r="L495" s="40"/>
      <c r="M495" s="41"/>
      <c r="N495" s="7"/>
    </row>
    <row r="496" spans="9:15" ht="12.75">
      <c r="I496" s="6" t="s">
        <v>2786</v>
      </c>
      <c r="J496" s="96"/>
      <c r="K496" s="96"/>
      <c r="L496" s="28"/>
      <c r="M496" s="41">
        <v>0.99</v>
      </c>
      <c r="N496" s="7"/>
      <c r="O496" s="448" t="s">
        <v>2402</v>
      </c>
    </row>
    <row r="497" spans="9:15" ht="12.75">
      <c r="I497" s="147" t="s">
        <v>2355</v>
      </c>
      <c r="J497" s="162"/>
      <c r="K497" s="162"/>
      <c r="L497" s="123"/>
      <c r="M497" s="148">
        <v>0.55</v>
      </c>
      <c r="N497" s="20" t="s">
        <v>1362</v>
      </c>
      <c r="O497" s="24" t="s">
        <v>637</v>
      </c>
    </row>
    <row r="498" spans="9:15" ht="12.75">
      <c r="I498" s="6" t="s">
        <v>3089</v>
      </c>
      <c r="J498" s="96"/>
      <c r="K498" s="96"/>
      <c r="L498" s="28"/>
      <c r="M498" s="41">
        <v>0.99</v>
      </c>
      <c r="N498" s="7"/>
      <c r="O498" s="448" t="s">
        <v>2455</v>
      </c>
    </row>
    <row r="499" spans="9:15" ht="12.75">
      <c r="I499" s="123" t="s">
        <v>3089</v>
      </c>
      <c r="J499" s="162"/>
      <c r="K499" s="162"/>
      <c r="L499" s="123"/>
      <c r="M499" s="148">
        <v>0.79</v>
      </c>
      <c r="N499" s="7"/>
      <c r="O499" s="716" t="s">
        <v>637</v>
      </c>
    </row>
    <row r="500" spans="9:15" ht="12.75">
      <c r="I500" s="582" t="s">
        <v>187</v>
      </c>
      <c r="J500" s="96"/>
      <c r="K500" s="96"/>
      <c r="L500" s="28"/>
      <c r="M500" s="41">
        <v>0.99</v>
      </c>
      <c r="N500" s="7"/>
      <c r="O500" s="24" t="s">
        <v>2168</v>
      </c>
    </row>
    <row r="501" spans="9:15" ht="12.75">
      <c r="I501" s="59" t="s">
        <v>1934</v>
      </c>
      <c r="J501" s="96"/>
      <c r="K501" s="96"/>
      <c r="L501" s="28"/>
      <c r="M501" s="41">
        <v>1.48</v>
      </c>
      <c r="N501" s="7"/>
      <c r="O501" s="716" t="s">
        <v>754</v>
      </c>
    </row>
    <row r="502" spans="9:15" ht="12.75">
      <c r="I502" s="59" t="s">
        <v>2450</v>
      </c>
      <c r="J502" s="96"/>
      <c r="K502" s="96">
        <v>3.99</v>
      </c>
      <c r="L502" s="28">
        <v>3000</v>
      </c>
      <c r="M502" s="5">
        <f>K502/L502*1000</f>
        <v>1.33</v>
      </c>
      <c r="N502" s="7"/>
      <c r="O502" s="24" t="s">
        <v>2451</v>
      </c>
    </row>
    <row r="503" spans="9:15" ht="12.75">
      <c r="I503" s="59" t="s">
        <v>1528</v>
      </c>
      <c r="J503" s="96"/>
      <c r="K503" s="96"/>
      <c r="L503" s="28"/>
      <c r="M503" s="41">
        <v>1.48</v>
      </c>
      <c r="N503" s="7"/>
      <c r="O503" s="24" t="s">
        <v>2455</v>
      </c>
    </row>
    <row r="504" spans="9:15" ht="12.75">
      <c r="I504" s="71" t="s">
        <v>1528</v>
      </c>
      <c r="J504" s="96"/>
      <c r="K504" s="96"/>
      <c r="L504" s="28"/>
      <c r="M504" s="29">
        <v>1.38</v>
      </c>
      <c r="N504" s="7"/>
      <c r="O504" s="24" t="s">
        <v>2337</v>
      </c>
    </row>
    <row r="505" spans="9:15" ht="12.75">
      <c r="I505" s="71" t="s">
        <v>1089</v>
      </c>
      <c r="J505" s="96"/>
      <c r="K505" s="96"/>
      <c r="L505" s="28"/>
      <c r="M505" s="41">
        <v>1.29</v>
      </c>
      <c r="N505" s="7"/>
      <c r="O505" s="24" t="s">
        <v>2320</v>
      </c>
    </row>
    <row r="506" spans="9:15" ht="12.75">
      <c r="I506" s="71" t="s">
        <v>1089</v>
      </c>
      <c r="J506" s="96"/>
      <c r="K506" s="96"/>
      <c r="L506" s="28"/>
      <c r="M506" s="29">
        <v>1.19</v>
      </c>
      <c r="N506" s="7"/>
      <c r="O506" s="24" t="s">
        <v>337</v>
      </c>
    </row>
    <row r="507" spans="9:15" ht="12.75">
      <c r="I507" s="71" t="s">
        <v>357</v>
      </c>
      <c r="J507" s="96"/>
      <c r="K507" s="96"/>
      <c r="L507" s="28"/>
      <c r="M507" s="29">
        <v>0.99</v>
      </c>
      <c r="N507" s="108"/>
      <c r="O507" s="88" t="s">
        <v>233</v>
      </c>
    </row>
    <row r="508" spans="9:15" ht="12.75">
      <c r="I508" s="71" t="s">
        <v>1089</v>
      </c>
      <c r="J508" s="96"/>
      <c r="K508" s="96"/>
      <c r="L508" s="28"/>
      <c r="M508" s="29">
        <v>1.29</v>
      </c>
      <c r="N508" s="7"/>
      <c r="O508" s="24" t="s">
        <v>2622</v>
      </c>
    </row>
    <row r="509" spans="9:15" ht="12.75">
      <c r="I509" s="71" t="s">
        <v>1089</v>
      </c>
      <c r="J509" s="96"/>
      <c r="K509" s="96"/>
      <c r="L509" s="28"/>
      <c r="M509" s="29">
        <v>1.19</v>
      </c>
      <c r="N509" s="7"/>
      <c r="O509" s="24" t="s">
        <v>1663</v>
      </c>
    </row>
    <row r="510" spans="9:15" ht="12.75">
      <c r="I510" s="97" t="s">
        <v>1078</v>
      </c>
      <c r="J510" s="61"/>
      <c r="K510" s="61"/>
      <c r="L510" s="40"/>
      <c r="M510" s="41">
        <v>1.29</v>
      </c>
      <c r="N510" s="7"/>
      <c r="O510" s="24" t="s">
        <v>1904</v>
      </c>
    </row>
    <row r="511" spans="9:15" ht="12.75">
      <c r="I511" s="40" t="s">
        <v>1447</v>
      </c>
      <c r="J511" s="61"/>
      <c r="K511" s="61">
        <f>0.75*1.19</f>
        <v>0.8925</v>
      </c>
      <c r="L511" s="40">
        <v>500</v>
      </c>
      <c r="M511" s="5">
        <f>K511/L511*1000</f>
        <v>1.785</v>
      </c>
      <c r="N511" s="267" t="s">
        <v>2698</v>
      </c>
      <c r="O511" s="88" t="s">
        <v>2488</v>
      </c>
    </row>
    <row r="512" spans="9:15" ht="12.75">
      <c r="I512" s="40" t="s">
        <v>1447</v>
      </c>
      <c r="J512" s="61"/>
      <c r="K512" s="61">
        <v>1.19</v>
      </c>
      <c r="L512" s="40">
        <v>500</v>
      </c>
      <c r="M512" s="5">
        <f>K512/L512*1000</f>
        <v>2.38</v>
      </c>
      <c r="N512" s="108"/>
      <c r="O512" s="88" t="s">
        <v>1705</v>
      </c>
    </row>
    <row r="513" spans="9:15" ht="12.75">
      <c r="I513" s="28" t="s">
        <v>2261</v>
      </c>
      <c r="J513" s="96"/>
      <c r="K513" s="96">
        <v>0.99</v>
      </c>
      <c r="L513" s="28">
        <v>500</v>
      </c>
      <c r="M513" s="29">
        <f>K513/L513*1000</f>
        <v>1.98</v>
      </c>
      <c r="N513" s="108"/>
      <c r="O513" s="88" t="s">
        <v>2537</v>
      </c>
    </row>
    <row r="514" spans="2:15" ht="12.75">
      <c r="B514" s="195" t="s">
        <v>2043</v>
      </c>
      <c r="I514" s="97" t="s">
        <v>1187</v>
      </c>
      <c r="J514" s="594"/>
      <c r="K514" s="61"/>
      <c r="L514" s="40"/>
      <c r="M514" s="5">
        <v>1.79</v>
      </c>
      <c r="N514" s="108"/>
      <c r="O514" s="88" t="s">
        <v>1226</v>
      </c>
    </row>
    <row r="515" spans="2:15" ht="12.75">
      <c r="B515" s="195" t="s">
        <v>2043</v>
      </c>
      <c r="I515" s="71" t="s">
        <v>1187</v>
      </c>
      <c r="J515" s="158"/>
      <c r="K515" s="96"/>
      <c r="L515" s="28"/>
      <c r="M515" s="29">
        <v>1.29</v>
      </c>
      <c r="N515" s="108"/>
      <c r="O515" s="88" t="s">
        <v>1246</v>
      </c>
    </row>
    <row r="516" spans="9:15" ht="12.75">
      <c r="I516" s="97" t="s">
        <v>1801</v>
      </c>
      <c r="J516" s="321"/>
      <c r="K516" s="501"/>
      <c r="L516" s="322"/>
      <c r="M516" s="5">
        <v>1.49</v>
      </c>
      <c r="N516" s="108"/>
      <c r="O516" s="88" t="s">
        <v>2802</v>
      </c>
    </row>
    <row r="517" spans="9:15" ht="12.75">
      <c r="I517" s="43" t="s">
        <v>2905</v>
      </c>
      <c r="J517" s="321">
        <v>2.27</v>
      </c>
      <c r="K517" s="501">
        <f>J517*0.97</f>
        <v>2.2018999999999997</v>
      </c>
      <c r="L517" s="322">
        <v>1000</v>
      </c>
      <c r="M517" s="5">
        <f>K517/L517*1000</f>
        <v>2.2018999999999997</v>
      </c>
      <c r="N517" s="108"/>
      <c r="O517" s="88" t="s">
        <v>2131</v>
      </c>
    </row>
    <row r="518" spans="9:15" ht="12.75">
      <c r="I518" s="37" t="s">
        <v>1187</v>
      </c>
      <c r="J518" s="61"/>
      <c r="K518" s="61"/>
      <c r="L518" s="40"/>
      <c r="M518" s="41">
        <v>1.99</v>
      </c>
      <c r="N518" s="7"/>
      <c r="O518" s="24" t="s">
        <v>2463</v>
      </c>
    </row>
    <row r="519" spans="9:15" ht="12.75">
      <c r="I519" s="37" t="s">
        <v>1608</v>
      </c>
      <c r="J519" s="61"/>
      <c r="K519" s="37">
        <v>2.79</v>
      </c>
      <c r="L519" s="56">
        <v>300</v>
      </c>
      <c r="M519" s="25">
        <f>K519/L519*1000</f>
        <v>9.3</v>
      </c>
      <c r="N519" s="108"/>
      <c r="O519" s="88" t="s">
        <v>551</v>
      </c>
    </row>
    <row r="520" spans="9:15" ht="12.75">
      <c r="I520" s="37"/>
      <c r="J520" s="61"/>
      <c r="K520" s="37"/>
      <c r="L520" s="56"/>
      <c r="M520" s="25"/>
      <c r="N520" s="108"/>
      <c r="O520" s="88"/>
    </row>
    <row r="521" spans="9:15" ht="12.75">
      <c r="I521" s="37"/>
      <c r="J521" s="61"/>
      <c r="K521" s="37"/>
      <c r="L521" s="56"/>
      <c r="M521" s="25"/>
      <c r="N521" s="108"/>
      <c r="O521" s="88"/>
    </row>
    <row r="522" spans="9:14" ht="15.75">
      <c r="I522" s="248">
        <v>0</v>
      </c>
      <c r="J522" s="61"/>
      <c r="K522" s="61"/>
      <c r="L522" s="40"/>
      <c r="M522" s="41"/>
      <c r="N522" s="7"/>
    </row>
    <row r="523" spans="9:15" ht="12.75">
      <c r="I523" s="378" t="s">
        <v>2651</v>
      </c>
      <c r="J523" s="379"/>
      <c r="K523" s="573">
        <v>1.45</v>
      </c>
      <c r="L523" s="349">
        <v>250</v>
      </c>
      <c r="M523" s="348">
        <v>8.72</v>
      </c>
      <c r="N523" s="1363"/>
      <c r="O523" s="818" t="s">
        <v>2514</v>
      </c>
    </row>
    <row r="524" spans="9:15" ht="12.75">
      <c r="I524" s="378" t="s">
        <v>2777</v>
      </c>
      <c r="J524" s="379"/>
      <c r="K524" s="573"/>
      <c r="L524" s="349"/>
      <c r="M524" s="348">
        <v>8.72</v>
      </c>
      <c r="N524" s="1363"/>
      <c r="O524" s="818" t="s">
        <v>2778</v>
      </c>
    </row>
    <row r="525" spans="9:15" ht="12.75">
      <c r="I525" s="40" t="s">
        <v>1826</v>
      </c>
      <c r="J525" s="61"/>
      <c r="K525" s="40">
        <v>2.99</v>
      </c>
      <c r="L525" s="40">
        <v>250</v>
      </c>
      <c r="M525" s="466">
        <f>K525/L525*1000</f>
        <v>11.96</v>
      </c>
      <c r="N525" s="108"/>
      <c r="O525" s="88" t="s">
        <v>2514</v>
      </c>
    </row>
    <row r="526" spans="9:15" ht="12.75">
      <c r="I526" s="37"/>
      <c r="J526" s="61"/>
      <c r="K526" s="37"/>
      <c r="L526" s="56"/>
      <c r="M526" s="25"/>
      <c r="N526" s="108"/>
      <c r="O526" s="88"/>
    </row>
    <row r="527" spans="9:14" ht="15.75">
      <c r="I527" s="178" t="s">
        <v>2122</v>
      </c>
      <c r="J527" s="61"/>
      <c r="K527" s="61"/>
      <c r="L527" s="40"/>
      <c r="M527" s="41"/>
      <c r="N527" s="7"/>
    </row>
    <row r="528" spans="2:15" s="471" customFormat="1" ht="12.75">
      <c r="B528" s="441"/>
      <c r="C528" s="441"/>
      <c r="D528" s="441"/>
      <c r="E528" s="748"/>
      <c r="F528" s="442"/>
      <c r="G528" s="441"/>
      <c r="H528" s="441"/>
      <c r="I528" s="31" t="s">
        <v>3168</v>
      </c>
      <c r="J528" s="1361"/>
      <c r="K528" s="1362"/>
      <c r="M528" s="58">
        <v>12.88</v>
      </c>
      <c r="N528" s="1363"/>
      <c r="O528" s="88" t="s">
        <v>3169</v>
      </c>
    </row>
    <row r="529" spans="2:15" s="471" customFormat="1" ht="12.75">
      <c r="B529" s="441"/>
      <c r="C529" s="441"/>
      <c r="D529" s="441"/>
      <c r="E529" s="748"/>
      <c r="F529" s="442"/>
      <c r="G529" s="441"/>
      <c r="H529" s="441"/>
      <c r="I529" s="31" t="s">
        <v>3164</v>
      </c>
      <c r="J529" s="66"/>
      <c r="K529" s="95"/>
      <c r="L529" s="33"/>
      <c r="M529" s="32">
        <v>19</v>
      </c>
      <c r="N529" s="1363"/>
      <c r="O529" s="1516" t="s">
        <v>3154</v>
      </c>
    </row>
    <row r="530" spans="2:15" s="471" customFormat="1" ht="12.75">
      <c r="B530" s="441"/>
      <c r="C530" s="441"/>
      <c r="D530" s="441"/>
      <c r="E530" s="748"/>
      <c r="F530" s="442"/>
      <c r="G530" s="441"/>
      <c r="H530" s="441"/>
      <c r="I530" s="1472" t="s">
        <v>3009</v>
      </c>
      <c r="J530" s="1483"/>
      <c r="K530" s="1484">
        <v>14.99</v>
      </c>
      <c r="L530" s="1474">
        <v>1000</v>
      </c>
      <c r="M530" s="1473">
        <f>K530/L530*1000</f>
        <v>14.99</v>
      </c>
      <c r="N530" s="1538"/>
      <c r="O530" s="1539" t="s">
        <v>2124</v>
      </c>
    </row>
    <row r="531" spans="2:15" s="471" customFormat="1" ht="12.75">
      <c r="B531" s="441"/>
      <c r="C531" s="441"/>
      <c r="D531" s="441"/>
      <c r="E531" s="748"/>
      <c r="F531" s="442"/>
      <c r="G531" s="441"/>
      <c r="H531" s="441"/>
      <c r="I531" s="399" t="s">
        <v>528</v>
      </c>
      <c r="J531" s="1361"/>
      <c r="K531" s="1362"/>
      <c r="M531" s="466"/>
      <c r="N531" s="1363"/>
      <c r="O531" s="818" t="s">
        <v>2451</v>
      </c>
    </row>
    <row r="532" spans="9:15" ht="12.75">
      <c r="I532" s="28" t="s">
        <v>2123</v>
      </c>
      <c r="J532" s="96">
        <v>9.99</v>
      </c>
      <c r="K532" s="111">
        <f>J532*0.9</f>
        <v>8.991</v>
      </c>
      <c r="L532" s="30">
        <v>800</v>
      </c>
      <c r="M532" s="29">
        <f>K532/L532*1000</f>
        <v>11.23875</v>
      </c>
      <c r="N532" s="132" t="s">
        <v>1398</v>
      </c>
      <c r="O532" s="24" t="s">
        <v>458</v>
      </c>
    </row>
    <row r="533" spans="9:15" ht="12.75">
      <c r="I533" s="28" t="s">
        <v>2123</v>
      </c>
      <c r="J533" s="96">
        <v>9.99</v>
      </c>
      <c r="K533" s="111">
        <f>J533*0.97</f>
        <v>9.6903</v>
      </c>
      <c r="L533" s="30">
        <v>800</v>
      </c>
      <c r="M533" s="29">
        <f>K533/L533*1000</f>
        <v>12.112875</v>
      </c>
      <c r="N533" s="132"/>
      <c r="O533" s="24" t="s">
        <v>2168</v>
      </c>
    </row>
    <row r="534" spans="9:15" ht="12.75">
      <c r="I534" s="277"/>
      <c r="J534" s="61"/>
      <c r="K534" s="61"/>
      <c r="M534" s="5"/>
      <c r="N534" s="7"/>
      <c r="O534" s="90"/>
    </row>
    <row r="535" spans="9:14" ht="12.75">
      <c r="I535" s="40"/>
      <c r="J535" s="61"/>
      <c r="K535" s="8"/>
      <c r="M535" s="5"/>
      <c r="N535" s="7"/>
    </row>
    <row r="536" spans="9:15" ht="15.75">
      <c r="I536" s="52" t="s">
        <v>1579</v>
      </c>
      <c r="J536" s="61"/>
      <c r="K536" s="8"/>
      <c r="M536" s="5"/>
      <c r="O536" s="24" t="s">
        <v>1985</v>
      </c>
    </row>
    <row r="537" spans="9:15" ht="12.75">
      <c r="I537" s="40" t="s">
        <v>54</v>
      </c>
      <c r="J537" s="8"/>
      <c r="K537" s="8"/>
      <c r="L537" s="33">
        <v>400</v>
      </c>
      <c r="M537" s="5">
        <v>24</v>
      </c>
      <c r="O537" s="24" t="s">
        <v>2632</v>
      </c>
    </row>
    <row r="538" spans="9:15" ht="12.75">
      <c r="I538" s="37" t="s">
        <v>987</v>
      </c>
      <c r="J538" s="53"/>
      <c r="K538" s="53">
        <v>10.46</v>
      </c>
      <c r="L538" s="26">
        <v>400</v>
      </c>
      <c r="M538" s="25">
        <f>K538/L538*1000</f>
        <v>26.150000000000002</v>
      </c>
      <c r="O538" s="24" t="s">
        <v>175</v>
      </c>
    </row>
    <row r="539" spans="9:15" ht="12.75">
      <c r="I539" s="40" t="s">
        <v>2957</v>
      </c>
      <c r="J539" s="8">
        <v>7.39</v>
      </c>
      <c r="K539" s="8">
        <f>J539*0.97</f>
        <v>7.1682999999999995</v>
      </c>
      <c r="L539" s="33">
        <v>400</v>
      </c>
      <c r="M539" s="5">
        <f>K539/L539*1000</f>
        <v>17.920749999999998</v>
      </c>
      <c r="O539" s="24" t="s">
        <v>2632</v>
      </c>
    </row>
    <row r="540" spans="9:15" ht="12.75">
      <c r="I540" s="17" t="s">
        <v>517</v>
      </c>
      <c r="J540" s="160"/>
      <c r="K540" s="181">
        <v>6.29</v>
      </c>
      <c r="L540" s="19">
        <v>300</v>
      </c>
      <c r="M540" s="18">
        <f>K540/L540*1000</f>
        <v>20.96666666666667</v>
      </c>
      <c r="N540" t="s">
        <v>948</v>
      </c>
      <c r="O540" s="24" t="s">
        <v>1762</v>
      </c>
    </row>
    <row r="541" spans="2:15" ht="12.75">
      <c r="B541" s="195">
        <v>18.4</v>
      </c>
      <c r="C541" s="195">
        <v>16.7</v>
      </c>
      <c r="D541" s="195">
        <v>10.2</v>
      </c>
      <c r="F541" s="198">
        <v>2228</v>
      </c>
      <c r="G541" s="648">
        <f>B541/F541*1000</f>
        <v>8.258527827648114</v>
      </c>
      <c r="H541" s="648"/>
      <c r="I541" s="40" t="s">
        <v>1260</v>
      </c>
      <c r="J541" s="66"/>
      <c r="K541" s="8">
        <v>6.69</v>
      </c>
      <c r="L541" s="33">
        <v>400</v>
      </c>
      <c r="M541" s="5">
        <f>K541/L541*1000</f>
        <v>16.725</v>
      </c>
      <c r="O541" s="24" t="s">
        <v>2632</v>
      </c>
    </row>
    <row r="542" spans="9:15" ht="12.75">
      <c r="I542" s="40" t="s">
        <v>2508</v>
      </c>
      <c r="J542" s="66">
        <v>7.39</v>
      </c>
      <c r="K542" s="8">
        <f>J542*0.97</f>
        <v>7.1682999999999995</v>
      </c>
      <c r="L542" s="33">
        <v>400</v>
      </c>
      <c r="M542" s="5">
        <f>K542/L542*1000</f>
        <v>17.920749999999998</v>
      </c>
      <c r="O542" s="24" t="s">
        <v>2353</v>
      </c>
    </row>
    <row r="543" spans="9:13" ht="12.75">
      <c r="I543" s="6"/>
      <c r="J543" s="55"/>
      <c r="K543" s="73"/>
      <c r="L543" s="7"/>
      <c r="M543" s="16"/>
    </row>
    <row r="544" spans="9:10" ht="15.75">
      <c r="I544" s="52" t="s">
        <v>1019</v>
      </c>
      <c r="J544" s="646" t="s">
        <v>1007</v>
      </c>
    </row>
    <row r="545" spans="2:15" ht="12.75">
      <c r="B545" s="195">
        <v>4</v>
      </c>
      <c r="C545" s="195">
        <v>7.5</v>
      </c>
      <c r="D545" s="195">
        <v>17</v>
      </c>
      <c r="F545" s="198">
        <v>853</v>
      </c>
      <c r="G545" s="648">
        <f>B545/F545*1000</f>
        <v>4.689331770222743</v>
      </c>
      <c r="H545" s="1212">
        <f>M545/F545*100000</f>
        <v>1434.9355216881595</v>
      </c>
      <c r="I545" s="31" t="s">
        <v>968</v>
      </c>
      <c r="J545" s="1413"/>
      <c r="K545" s="95">
        <v>1.53</v>
      </c>
      <c r="L545" s="640">
        <v>125</v>
      </c>
      <c r="M545" s="41">
        <f>K545/L545*1000</f>
        <v>12.24</v>
      </c>
      <c r="N545" s="443"/>
      <c r="O545" s="88" t="s">
        <v>2384</v>
      </c>
    </row>
    <row r="546" spans="2:15" ht="12.75">
      <c r="B546" s="195">
        <v>4</v>
      </c>
      <c r="C546" s="195">
        <v>9</v>
      </c>
      <c r="D546" s="195">
        <v>16</v>
      </c>
      <c r="F546" s="198">
        <v>837</v>
      </c>
      <c r="G546" s="648">
        <f aca="true" t="shared" si="18" ref="G546:G551">B546/F546*1000</f>
        <v>4.778972520908004</v>
      </c>
      <c r="H546" s="1212">
        <f aca="true" t="shared" si="19" ref="H546:H551">M546/F546*100000</f>
        <v>1366.7861409796892</v>
      </c>
      <c r="I546" s="31" t="s">
        <v>969</v>
      </c>
      <c r="J546" s="1413"/>
      <c r="K546" s="95">
        <v>1.43</v>
      </c>
      <c r="L546" s="640">
        <v>125</v>
      </c>
      <c r="M546" s="41">
        <f>K546/L546*1000</f>
        <v>11.44</v>
      </c>
      <c r="N546" s="443"/>
      <c r="O546" s="88" t="s">
        <v>2384</v>
      </c>
    </row>
    <row r="547" spans="2:15" ht="12.75">
      <c r="B547" s="195">
        <v>4.3</v>
      </c>
      <c r="C547" s="195">
        <v>4.3</v>
      </c>
      <c r="D547" s="195">
        <v>8</v>
      </c>
      <c r="F547" s="198">
        <v>790</v>
      </c>
      <c r="G547" s="648">
        <f t="shared" si="18"/>
        <v>5.443037974683544</v>
      </c>
      <c r="H547" s="1212">
        <f t="shared" si="19"/>
        <v>1549.367088607595</v>
      </c>
      <c r="I547" s="31" t="s">
        <v>970</v>
      </c>
      <c r="J547" s="1413"/>
      <c r="K547" s="95">
        <v>1.53</v>
      </c>
      <c r="L547" s="640">
        <v>125</v>
      </c>
      <c r="M547" s="41">
        <f>K547/L547*1000</f>
        <v>12.24</v>
      </c>
      <c r="N547" s="443"/>
      <c r="O547" s="88" t="s">
        <v>2384</v>
      </c>
    </row>
    <row r="548" spans="2:15" s="470" customFormat="1" ht="12.75">
      <c r="B548" s="441">
        <v>9.6</v>
      </c>
      <c r="C548" s="441">
        <v>4.9</v>
      </c>
      <c r="D548" s="279">
        <v>22.2</v>
      </c>
      <c r="E548" s="736"/>
      <c r="F548" s="442">
        <v>1068</v>
      </c>
      <c r="G548" s="648">
        <f t="shared" si="18"/>
        <v>8.988764044943819</v>
      </c>
      <c r="H548" s="1212"/>
      <c r="I548" s="301" t="s">
        <v>136</v>
      </c>
      <c r="J548" s="316"/>
      <c r="K548" s="647" t="s">
        <v>3028</v>
      </c>
      <c r="L548" s="470">
        <v>125</v>
      </c>
      <c r="M548" s="41"/>
      <c r="O548" s="469" t="s">
        <v>2537</v>
      </c>
    </row>
    <row r="549" spans="2:15" s="470" customFormat="1" ht="12.75">
      <c r="B549" s="441">
        <v>2.4</v>
      </c>
      <c r="C549" s="441">
        <v>3.8</v>
      </c>
      <c r="D549" s="279">
        <v>23.5</v>
      </c>
      <c r="E549" s="736"/>
      <c r="F549" s="442">
        <v>981</v>
      </c>
      <c r="G549" s="645">
        <f t="shared" si="18"/>
        <v>2.4464831804281344</v>
      </c>
      <c r="H549" s="1212">
        <f t="shared" si="19"/>
        <v>1296.6360856269114</v>
      </c>
      <c r="I549" s="644" t="s">
        <v>1333</v>
      </c>
      <c r="J549" s="316">
        <f>15.8/L549*100</f>
        <v>12.64</v>
      </c>
      <c r="K549" s="605">
        <v>1.59</v>
      </c>
      <c r="L549" s="470">
        <v>125</v>
      </c>
      <c r="M549" s="41">
        <f>K549/L549*1000</f>
        <v>12.72</v>
      </c>
      <c r="O549" s="469" t="s">
        <v>2537</v>
      </c>
    </row>
    <row r="550" spans="2:15" ht="12.75">
      <c r="B550" s="195">
        <v>5.2</v>
      </c>
      <c r="C550" s="195">
        <v>5.1</v>
      </c>
      <c r="D550" s="195">
        <v>18.6</v>
      </c>
      <c r="F550" s="198">
        <v>865</v>
      </c>
      <c r="G550" s="279">
        <f t="shared" si="18"/>
        <v>6.011560693641619</v>
      </c>
      <c r="H550" s="1212">
        <f t="shared" si="19"/>
        <v>1225.4335260115606</v>
      </c>
      <c r="I550" s="205" t="s">
        <v>588</v>
      </c>
      <c r="J550" s="316">
        <f>15.8/L550*100</f>
        <v>10.533333333333333</v>
      </c>
      <c r="K550" s="430">
        <v>1.59</v>
      </c>
      <c r="L550" s="42">
        <v>150</v>
      </c>
      <c r="M550" s="41">
        <f>K550/L550*1000</f>
        <v>10.6</v>
      </c>
      <c r="N550" s="443"/>
      <c r="O550" s="88" t="s">
        <v>36</v>
      </c>
    </row>
    <row r="551" spans="2:15" ht="12.75">
      <c r="B551" s="195">
        <v>5.2</v>
      </c>
      <c r="C551" s="195">
        <v>5.1</v>
      </c>
      <c r="D551" s="195">
        <v>18.6</v>
      </c>
      <c r="F551" s="198">
        <v>865</v>
      </c>
      <c r="G551" s="279">
        <f t="shared" si="18"/>
        <v>6.011560693641619</v>
      </c>
      <c r="H551" s="1212">
        <f t="shared" si="19"/>
        <v>763.0057803468208</v>
      </c>
      <c r="I551" s="576" t="s">
        <v>89</v>
      </c>
      <c r="J551" s="316">
        <f>2*15.8/L551*100</f>
        <v>10.533333333333333</v>
      </c>
      <c r="K551" s="625">
        <v>1.98</v>
      </c>
      <c r="L551" s="30">
        <v>300</v>
      </c>
      <c r="M551" s="29">
        <f>K551/L551*1000</f>
        <v>6.6</v>
      </c>
      <c r="N551" s="30" t="s">
        <v>1362</v>
      </c>
      <c r="O551" s="88" t="s">
        <v>1539</v>
      </c>
    </row>
    <row r="552" spans="9:15" ht="12.75">
      <c r="I552" s="59" t="s">
        <v>885</v>
      </c>
      <c r="J552" s="316">
        <f>9.8/L552*100</f>
        <v>7.840000000000001</v>
      </c>
      <c r="K552" s="430">
        <v>0.99</v>
      </c>
      <c r="L552" s="42">
        <v>125</v>
      </c>
      <c r="M552" s="41">
        <f>K552/L552*1000</f>
        <v>7.92</v>
      </c>
      <c r="N552" s="443" t="s">
        <v>2944</v>
      </c>
      <c r="O552" s="88" t="s">
        <v>1930</v>
      </c>
    </row>
    <row r="553" spans="9:15" ht="12.75">
      <c r="I553" s="2" t="s">
        <v>2597</v>
      </c>
      <c r="J553" s="316">
        <f>9.8/L553*100</f>
        <v>7.840000000000001</v>
      </c>
      <c r="K553" s="639">
        <v>1.59</v>
      </c>
      <c r="L553" s="640">
        <v>125</v>
      </c>
      <c r="M553" s="41">
        <f aca="true" t="shared" si="20" ref="M553:M568">K553/L553*1000</f>
        <v>12.72</v>
      </c>
      <c r="N553" s="443"/>
      <c r="O553" s="88" t="s">
        <v>2537</v>
      </c>
    </row>
    <row r="554" spans="2:15" ht="12.75">
      <c r="B554" s="195">
        <v>9.5</v>
      </c>
      <c r="C554" s="195">
        <v>4.2</v>
      </c>
      <c r="D554" s="195">
        <v>19.9</v>
      </c>
      <c r="F554" s="198">
        <v>953</v>
      </c>
      <c r="G554" s="195">
        <f>B554/F554*1000</f>
        <v>9.968520461699896</v>
      </c>
      <c r="H554" s="1212">
        <f>M554/F554*100000</f>
        <v>1334.7324239244492</v>
      </c>
      <c r="I554" s="2" t="s">
        <v>650</v>
      </c>
      <c r="J554" s="316">
        <f>9.8/L554*100</f>
        <v>7.840000000000001</v>
      </c>
      <c r="K554" s="639">
        <v>1.59</v>
      </c>
      <c r="L554" s="640">
        <v>125</v>
      </c>
      <c r="M554" s="41">
        <f>K554/L554*1000</f>
        <v>12.72</v>
      </c>
      <c r="N554" s="443"/>
      <c r="O554" s="88" t="s">
        <v>2537</v>
      </c>
    </row>
    <row r="555" spans="2:15" ht="12.75">
      <c r="B555" s="195">
        <v>8.7</v>
      </c>
      <c r="C555" s="195">
        <v>7.1</v>
      </c>
      <c r="D555" s="195">
        <v>15.1</v>
      </c>
      <c r="F555" s="198">
        <v>785</v>
      </c>
      <c r="G555" s="195">
        <f>B555/F555*1000</f>
        <v>11.082802547770699</v>
      </c>
      <c r="H555" s="1212">
        <f>M555/F555*100000</f>
        <v>1620.3821656050957</v>
      </c>
      <c r="I555" s="2" t="s">
        <v>2845</v>
      </c>
      <c r="J555" s="316">
        <f>9.8/L555*100</f>
        <v>7.840000000000001</v>
      </c>
      <c r="K555" s="639">
        <v>1.59</v>
      </c>
      <c r="L555" s="640">
        <v>125</v>
      </c>
      <c r="M555" s="41">
        <f>K555/L555*1000</f>
        <v>12.72</v>
      </c>
      <c r="N555" s="443"/>
      <c r="O555" s="88" t="s">
        <v>2622</v>
      </c>
    </row>
    <row r="556" spans="9:15" ht="12.75">
      <c r="I556" s="37" t="s">
        <v>1354</v>
      </c>
      <c r="J556" s="66"/>
      <c r="K556" s="643">
        <v>1.79</v>
      </c>
      <c r="L556" s="33">
        <v>125</v>
      </c>
      <c r="M556" s="41">
        <f>K556/L556*1000</f>
        <v>14.32</v>
      </c>
      <c r="N556" s="42"/>
      <c r="O556" s="88" t="s">
        <v>2622</v>
      </c>
    </row>
    <row r="557" spans="2:15" ht="12.75">
      <c r="B557" s="195">
        <v>4.8</v>
      </c>
      <c r="C557" s="195">
        <v>9.2</v>
      </c>
      <c r="D557" s="195">
        <v>10.6</v>
      </c>
      <c r="F557" s="198">
        <v>586</v>
      </c>
      <c r="G557" s="195">
        <f aca="true" t="shared" si="21" ref="G557:G564">B557/F557*1000</f>
        <v>8.19112627986348</v>
      </c>
      <c r="H557" s="1212">
        <f>M557/F557*100000</f>
        <v>2443.6860068259384</v>
      </c>
      <c r="I557" s="40" t="s">
        <v>510</v>
      </c>
      <c r="J557" s="594" t="s">
        <v>511</v>
      </c>
      <c r="K557" s="643">
        <v>1.79</v>
      </c>
      <c r="L557" s="33">
        <v>125</v>
      </c>
      <c r="M557" s="41">
        <f>K557/L557*1000</f>
        <v>14.32</v>
      </c>
      <c r="N557" s="42"/>
      <c r="O557" s="88" t="s">
        <v>2622</v>
      </c>
    </row>
    <row r="558" spans="2:15" ht="12.75">
      <c r="B558" s="195">
        <v>9.5</v>
      </c>
      <c r="C558" s="195">
        <v>4.2</v>
      </c>
      <c r="D558" s="195">
        <v>19.9</v>
      </c>
      <c r="F558" s="198">
        <v>953</v>
      </c>
      <c r="G558" s="195">
        <f t="shared" si="21"/>
        <v>9.968520461699896</v>
      </c>
      <c r="H558" s="1212">
        <f>M558/F558*100000</f>
        <v>1502.623294858342</v>
      </c>
      <c r="I558" s="40" t="s">
        <v>1392</v>
      </c>
      <c r="J558" s="594" t="s">
        <v>512</v>
      </c>
      <c r="K558" s="643">
        <v>1.79</v>
      </c>
      <c r="L558" s="33">
        <v>125</v>
      </c>
      <c r="M558" s="41">
        <f>K558/L558*1000</f>
        <v>14.32</v>
      </c>
      <c r="N558" s="42"/>
      <c r="O558" s="88" t="s">
        <v>2622</v>
      </c>
    </row>
    <row r="559" spans="2:15" ht="12.75">
      <c r="B559" s="195">
        <v>9.5</v>
      </c>
      <c r="C559" s="195">
        <v>4.2</v>
      </c>
      <c r="D559" s="195">
        <v>19.9</v>
      </c>
      <c r="F559" s="198">
        <v>953</v>
      </c>
      <c r="G559" s="195">
        <f t="shared" si="21"/>
        <v>9.968520461699896</v>
      </c>
      <c r="H559" s="1212">
        <f>M559/F559*100000</f>
        <v>1334.7324239244492</v>
      </c>
      <c r="I559" s="576" t="s">
        <v>2619</v>
      </c>
      <c r="J559" s="96"/>
      <c r="K559" s="625">
        <v>1.59</v>
      </c>
      <c r="L559" s="30">
        <v>125</v>
      </c>
      <c r="M559" s="29">
        <f t="shared" si="20"/>
        <v>12.72</v>
      </c>
      <c r="N559" s="42"/>
      <c r="O559" s="88" t="s">
        <v>1930</v>
      </c>
    </row>
    <row r="560" spans="2:15" ht="12.75">
      <c r="B560" s="195">
        <v>7</v>
      </c>
      <c r="C560" s="195">
        <v>4.9</v>
      </c>
      <c r="D560" s="195">
        <v>20.4</v>
      </c>
      <c r="F560" s="198">
        <v>957</v>
      </c>
      <c r="G560" s="195">
        <f t="shared" si="21"/>
        <v>7.3145245559038665</v>
      </c>
      <c r="H560" s="1212">
        <f>M560/F560*100000</f>
        <v>1419.01776384535</v>
      </c>
      <c r="I560" s="202" t="s">
        <v>3124</v>
      </c>
      <c r="J560" s="641">
        <v>1.75</v>
      </c>
      <c r="K560" s="181">
        <f>J560*0.97</f>
        <v>1.6975</v>
      </c>
      <c r="L560" s="642">
        <v>125</v>
      </c>
      <c r="M560" s="18">
        <f t="shared" si="20"/>
        <v>13.58</v>
      </c>
      <c r="N560" s="19" t="s">
        <v>41</v>
      </c>
      <c r="O560" s="88" t="s">
        <v>1531</v>
      </c>
    </row>
    <row r="561" spans="2:15" ht="12.75">
      <c r="B561" s="195">
        <v>10.2</v>
      </c>
      <c r="C561" s="195">
        <v>4.5</v>
      </c>
      <c r="D561" s="195">
        <v>17.6</v>
      </c>
      <c r="F561" s="198">
        <v>909</v>
      </c>
      <c r="G561" s="359">
        <f t="shared" si="21"/>
        <v>11.22112211221122</v>
      </c>
      <c r="H561" s="359"/>
      <c r="I561" s="15" t="s">
        <v>525</v>
      </c>
      <c r="J561" s="55">
        <v>1.89</v>
      </c>
      <c r="K561" s="73">
        <f>J561*0.97</f>
        <v>1.8333</v>
      </c>
      <c r="L561" s="7">
        <v>125</v>
      </c>
      <c r="M561" s="16">
        <f t="shared" si="20"/>
        <v>14.6664</v>
      </c>
      <c r="N561" s="33"/>
      <c r="O561" s="88" t="s">
        <v>2802</v>
      </c>
    </row>
    <row r="562" spans="2:15" ht="12.75">
      <c r="B562" s="195">
        <v>7.3</v>
      </c>
      <c r="C562" s="195">
        <v>10</v>
      </c>
      <c r="D562" s="195">
        <v>15</v>
      </c>
      <c r="F562" s="198">
        <v>849</v>
      </c>
      <c r="G562" s="390">
        <f t="shared" si="21"/>
        <v>8.598351001177855</v>
      </c>
      <c r="H562" s="1212">
        <f aca="true" t="shared" si="22" ref="H562:H567">M562/F562*100000</f>
        <v>1762.0730270906952</v>
      </c>
      <c r="I562" s="28" t="s">
        <v>1735</v>
      </c>
      <c r="J562" s="96"/>
      <c r="K562" s="111">
        <v>1.87</v>
      </c>
      <c r="L562" s="30">
        <v>125</v>
      </c>
      <c r="M562" s="29">
        <f t="shared" si="20"/>
        <v>14.96</v>
      </c>
      <c r="N562" s="33"/>
      <c r="O562" s="88" t="s">
        <v>2131</v>
      </c>
    </row>
    <row r="563" spans="2:15" ht="12.75">
      <c r="B563" s="195">
        <v>7.8</v>
      </c>
      <c r="C563" s="195">
        <v>10.8</v>
      </c>
      <c r="D563" s="195">
        <v>15</v>
      </c>
      <c r="F563" s="198">
        <v>871</v>
      </c>
      <c r="G563" s="390">
        <f t="shared" si="21"/>
        <v>8.955223880597016</v>
      </c>
      <c r="H563" s="1212">
        <f t="shared" si="22"/>
        <v>1717.566016073479</v>
      </c>
      <c r="I563" s="28" t="s">
        <v>443</v>
      </c>
      <c r="J563" s="96"/>
      <c r="K563" s="111">
        <v>1.87</v>
      </c>
      <c r="L563" s="30">
        <v>125</v>
      </c>
      <c r="M563" s="29">
        <f t="shared" si="20"/>
        <v>14.96</v>
      </c>
      <c r="N563" s="33"/>
      <c r="O563" s="88" t="s">
        <v>2802</v>
      </c>
    </row>
    <row r="564" spans="2:15" ht="12.75">
      <c r="B564" s="195">
        <v>7.8</v>
      </c>
      <c r="C564" s="195">
        <v>10.8</v>
      </c>
      <c r="D564" s="195">
        <v>15</v>
      </c>
      <c r="F564" s="198">
        <v>871</v>
      </c>
      <c r="G564" s="390">
        <f t="shared" si="21"/>
        <v>8.955223880597016</v>
      </c>
      <c r="H564" s="1212">
        <f t="shared" si="22"/>
        <v>1625.7175660160733</v>
      </c>
      <c r="I564" s="576" t="s">
        <v>623</v>
      </c>
      <c r="J564" s="96"/>
      <c r="K564" s="111">
        <v>1.77</v>
      </c>
      <c r="L564" s="30">
        <v>125</v>
      </c>
      <c r="M564" s="29">
        <f t="shared" si="20"/>
        <v>14.16</v>
      </c>
      <c r="N564" s="33"/>
      <c r="O564" s="88" t="s">
        <v>2213</v>
      </c>
    </row>
    <row r="565" spans="8:15" ht="12.75">
      <c r="H565" s="1212"/>
      <c r="I565" s="28" t="s">
        <v>623</v>
      </c>
      <c r="J565" s="96"/>
      <c r="K565" s="111">
        <v>1.75</v>
      </c>
      <c r="L565" s="30">
        <v>125</v>
      </c>
      <c r="M565" s="29">
        <f t="shared" si="20"/>
        <v>14</v>
      </c>
      <c r="N565" s="33"/>
      <c r="O565" s="88" t="s">
        <v>2526</v>
      </c>
    </row>
    <row r="566" spans="2:15" s="447" customFormat="1" ht="12.75">
      <c r="B566" s="941">
        <v>1</v>
      </c>
      <c r="C566" s="941">
        <v>6</v>
      </c>
      <c r="D566" s="972">
        <v>87</v>
      </c>
      <c r="E566" s="739"/>
      <c r="F566" s="973">
        <v>3350</v>
      </c>
      <c r="G566" s="972">
        <f>B566/F566*1000</f>
        <v>0.2985074626865672</v>
      </c>
      <c r="H566" s="1212">
        <f t="shared" si="22"/>
        <v>436.8401892974153</v>
      </c>
      <c r="I566" s="399" t="s">
        <v>1606</v>
      </c>
      <c r="J566" s="439"/>
      <c r="K566" s="558">
        <v>2.4</v>
      </c>
      <c r="L566" s="395">
        <v>164</v>
      </c>
      <c r="M566" s="400">
        <f>K566/L566*1000</f>
        <v>14.634146341463413</v>
      </c>
      <c r="O566" s="448" t="s">
        <v>1792</v>
      </c>
    </row>
    <row r="567" spans="2:15" s="447" customFormat="1" ht="12.75">
      <c r="B567" s="974">
        <v>5.6</v>
      </c>
      <c r="C567" s="974">
        <v>5.4</v>
      </c>
      <c r="D567" s="975">
        <v>75.8</v>
      </c>
      <c r="E567" s="740"/>
      <c r="F567" s="976">
        <v>2992</v>
      </c>
      <c r="G567" s="975">
        <f>B567/F567*1000</f>
        <v>1.8716577540106951</v>
      </c>
      <c r="H567" s="1212">
        <f t="shared" si="22"/>
        <v>438.20558526440874</v>
      </c>
      <c r="I567" s="322" t="s">
        <v>1363</v>
      </c>
      <c r="J567" s="320"/>
      <c r="K567" s="501">
        <v>2.95</v>
      </c>
      <c r="L567" s="447">
        <v>225</v>
      </c>
      <c r="M567" s="321">
        <f t="shared" si="20"/>
        <v>13.11111111111111</v>
      </c>
      <c r="O567" s="448" t="s">
        <v>1458</v>
      </c>
    </row>
    <row r="568" spans="2:15" s="447" customFormat="1" ht="12.75">
      <c r="B568" s="319"/>
      <c r="C568" s="319"/>
      <c r="D568" s="279"/>
      <c r="E568" s="736"/>
      <c r="F568" s="570"/>
      <c r="G568" s="279"/>
      <c r="H568" s="279"/>
      <c r="I568" s="399" t="s">
        <v>2263</v>
      </c>
      <c r="J568" s="320"/>
      <c r="K568" s="501">
        <v>1.69</v>
      </c>
      <c r="L568" s="447">
        <v>110</v>
      </c>
      <c r="M568" s="321">
        <f t="shared" si="20"/>
        <v>15.363636363636362</v>
      </c>
      <c r="O568" s="448" t="s">
        <v>942</v>
      </c>
    </row>
    <row r="569" spans="2:15" s="447" customFormat="1" ht="15" customHeight="1">
      <c r="B569" s="319"/>
      <c r="C569" s="319"/>
      <c r="D569" s="279"/>
      <c r="E569" s="736"/>
      <c r="F569" s="570"/>
      <c r="G569" s="279"/>
      <c r="H569" s="279"/>
      <c r="I569" s="322"/>
      <c r="J569" s="320"/>
      <c r="K569" s="501"/>
      <c r="M569" s="321"/>
      <c r="O569" s="448"/>
    </row>
    <row r="570" spans="2:15" s="447" customFormat="1" ht="13.5" customHeight="1">
      <c r="B570" s="319">
        <v>13.4</v>
      </c>
      <c r="C570" s="319">
        <v>6.5</v>
      </c>
      <c r="D570" s="648">
        <v>16.2</v>
      </c>
      <c r="E570" s="795"/>
      <c r="F570" s="590">
        <v>938</v>
      </c>
      <c r="G570" s="195">
        <f>B570/F570*1000</f>
        <v>14.285714285714285</v>
      </c>
      <c r="H570" s="1212">
        <f>M570/F570*100000</f>
        <v>910.0213219616205</v>
      </c>
      <c r="I570" s="59" t="s">
        <v>766</v>
      </c>
      <c r="J570" s="61">
        <v>2.2</v>
      </c>
      <c r="K570" s="8">
        <f>J570*0.97</f>
        <v>2.134</v>
      </c>
      <c r="L570" s="447">
        <v>250</v>
      </c>
      <c r="M570" s="321">
        <f>K570/L570*1000</f>
        <v>8.536</v>
      </c>
      <c r="N570" s="410" t="s">
        <v>527</v>
      </c>
      <c r="O570" s="448" t="s">
        <v>1145</v>
      </c>
    </row>
    <row r="571" spans="2:15" s="447" customFormat="1" ht="13.5" customHeight="1">
      <c r="B571" s="319">
        <v>14.8</v>
      </c>
      <c r="C571" s="319">
        <v>6.8</v>
      </c>
      <c r="D571" s="648">
        <v>20.1</v>
      </c>
      <c r="E571" s="795"/>
      <c r="F571" s="590">
        <v>1111</v>
      </c>
      <c r="G571" s="195">
        <f>B571/F571*1000</f>
        <v>13.321332133213323</v>
      </c>
      <c r="H571" s="1212">
        <f>M571/F571*100000</f>
        <v>640.2640264026402</v>
      </c>
      <c r="I571" s="59" t="s">
        <v>3045</v>
      </c>
      <c r="J571" s="61">
        <v>2.2</v>
      </c>
      <c r="K571" s="8">
        <f>J571*0.97</f>
        <v>2.134</v>
      </c>
      <c r="L571" s="447">
        <v>300</v>
      </c>
      <c r="M571" s="321">
        <f>K571/L571*1000</f>
        <v>7.113333333333332</v>
      </c>
      <c r="N571" s="410" t="s">
        <v>527</v>
      </c>
      <c r="O571" s="448" t="s">
        <v>1145</v>
      </c>
    </row>
    <row r="572" spans="2:15" s="447" customFormat="1" ht="13.5" customHeight="1">
      <c r="B572" s="319"/>
      <c r="C572" s="319"/>
      <c r="D572" s="770"/>
      <c r="E572" s="771"/>
      <c r="F572" s="772"/>
      <c r="G572" s="770"/>
      <c r="H572" s="770"/>
      <c r="I572" s="43" t="s">
        <v>2882</v>
      </c>
      <c r="J572" s="61"/>
      <c r="K572" s="98">
        <v>3.99</v>
      </c>
      <c r="L572" s="447">
        <v>300</v>
      </c>
      <c r="M572" s="321">
        <f aca="true" t="shared" si="23" ref="M572:M577">K572/L572*1000</f>
        <v>13.3</v>
      </c>
      <c r="O572" s="448" t="s">
        <v>1910</v>
      </c>
    </row>
    <row r="573" spans="9:15" ht="13.5" customHeight="1">
      <c r="I573" s="28" t="s">
        <v>2882</v>
      </c>
      <c r="J573" s="96"/>
      <c r="K573" s="625">
        <v>3.59</v>
      </c>
      <c r="L573" s="30">
        <v>300</v>
      </c>
      <c r="M573" s="29">
        <f t="shared" si="23"/>
        <v>11.966666666666665</v>
      </c>
      <c r="N573" s="33"/>
      <c r="O573" s="88" t="s">
        <v>1595</v>
      </c>
    </row>
    <row r="574" spans="9:15" ht="13.5" customHeight="1">
      <c r="I574" s="28" t="s">
        <v>2882</v>
      </c>
      <c r="J574" s="96"/>
      <c r="K574" s="111">
        <v>3.49</v>
      </c>
      <c r="L574" s="30">
        <v>300</v>
      </c>
      <c r="M574" s="29">
        <f t="shared" si="23"/>
        <v>11.633333333333335</v>
      </c>
      <c r="N574" s="440"/>
      <c r="O574" s="88" t="s">
        <v>144</v>
      </c>
    </row>
    <row r="575" spans="9:15" ht="13.5" customHeight="1">
      <c r="I575" s="43" t="s">
        <v>97</v>
      </c>
      <c r="J575" s="38">
        <v>3.69</v>
      </c>
      <c r="K575" s="25">
        <f>J575*0.99</f>
        <v>3.6531</v>
      </c>
      <c r="L575" s="33">
        <v>300</v>
      </c>
      <c r="M575" s="41">
        <f t="shared" si="23"/>
        <v>12.176999999999998</v>
      </c>
      <c r="N575" s="440" t="s">
        <v>1797</v>
      </c>
      <c r="O575" s="88" t="s">
        <v>942</v>
      </c>
    </row>
    <row r="576" spans="9:15" ht="13.5" customHeight="1">
      <c r="I576" s="37" t="s">
        <v>1134</v>
      </c>
      <c r="J576" s="96"/>
      <c r="K576" s="53">
        <v>3.99</v>
      </c>
      <c r="L576" s="42">
        <v>300</v>
      </c>
      <c r="M576" s="41">
        <f t="shared" si="23"/>
        <v>13.3</v>
      </c>
      <c r="N576" s="440" t="s">
        <v>1797</v>
      </c>
      <c r="O576" s="88" t="s">
        <v>2310</v>
      </c>
    </row>
    <row r="577" spans="9:15" ht="13.5" customHeight="1">
      <c r="I577" s="43" t="s">
        <v>462</v>
      </c>
      <c r="J577" s="66">
        <v>3.99</v>
      </c>
      <c r="K577" s="8">
        <f>J577*0.97</f>
        <v>3.8703000000000003</v>
      </c>
      <c r="L577" s="33">
        <v>300</v>
      </c>
      <c r="M577" s="5">
        <f t="shared" si="23"/>
        <v>12.901000000000002</v>
      </c>
      <c r="N577" s="440"/>
      <c r="O577" s="88" t="s">
        <v>662</v>
      </c>
    </row>
    <row r="578" spans="9:15" ht="13.5" customHeight="1">
      <c r="I578" s="6"/>
      <c r="J578" s="55"/>
      <c r="K578" s="73"/>
      <c r="L578" s="7"/>
      <c r="M578" s="16"/>
      <c r="N578" s="70"/>
      <c r="O578" s="88"/>
    </row>
    <row r="579" spans="9:15" ht="12.75">
      <c r="I579" s="6"/>
      <c r="J579" s="55"/>
      <c r="K579" s="73"/>
      <c r="L579" s="7"/>
      <c r="M579" s="16"/>
      <c r="N579" s="70"/>
      <c r="O579" s="88"/>
    </row>
    <row r="580" spans="2:15" s="10" customFormat="1" ht="12.75">
      <c r="B580" s="218"/>
      <c r="C580" s="218"/>
      <c r="D580" s="218"/>
      <c r="E580" s="737"/>
      <c r="F580" s="219"/>
      <c r="G580" s="218"/>
      <c r="H580" s="218"/>
      <c r="I580" s="75" t="s">
        <v>1167</v>
      </c>
      <c r="J580" s="155"/>
      <c r="K580" s="76">
        <v>1.99</v>
      </c>
      <c r="L580" s="77">
        <v>200</v>
      </c>
      <c r="M580" s="76">
        <f aca="true" t="shared" si="24" ref="M580:M592">K580/L580*1000</f>
        <v>9.950000000000001</v>
      </c>
      <c r="N580" s="717"/>
      <c r="O580" s="217" t="s">
        <v>252</v>
      </c>
    </row>
    <row r="581" spans="2:15" ht="14.25">
      <c r="B581" s="195">
        <v>18.1</v>
      </c>
      <c r="C581" s="195">
        <v>2.8</v>
      </c>
      <c r="D581" s="195">
        <v>12.9</v>
      </c>
      <c r="F581" s="198">
        <v>831</v>
      </c>
      <c r="G581" s="195">
        <f aca="true" t="shared" si="25" ref="G581:G591">B581/F581*1000</f>
        <v>21.780986762936223</v>
      </c>
      <c r="I581" s="28" t="s">
        <v>2496</v>
      </c>
      <c r="J581" s="96"/>
      <c r="K581" s="111">
        <v>1.89</v>
      </c>
      <c r="L581" s="30">
        <v>160</v>
      </c>
      <c r="M581" s="29">
        <f t="shared" si="24"/>
        <v>11.8125</v>
      </c>
      <c r="N581" s="70"/>
      <c r="O581" s="88" t="s">
        <v>144</v>
      </c>
    </row>
    <row r="582" spans="2:15" ht="12.75">
      <c r="B582" s="195">
        <v>18.1</v>
      </c>
      <c r="C582" s="195">
        <v>2.8</v>
      </c>
      <c r="D582" s="195">
        <v>12.9</v>
      </c>
      <c r="F582" s="198">
        <v>831</v>
      </c>
      <c r="G582" s="195">
        <f>B582/F582*1000</f>
        <v>21.780986762936223</v>
      </c>
      <c r="I582" s="40" t="s">
        <v>554</v>
      </c>
      <c r="J582" s="61"/>
      <c r="K582" s="98">
        <v>1.99</v>
      </c>
      <c r="L582" s="42">
        <v>160</v>
      </c>
      <c r="M582" s="41">
        <f>K582/L582*1000</f>
        <v>12.4375</v>
      </c>
      <c r="N582" s="70"/>
      <c r="O582" s="88" t="s">
        <v>2670</v>
      </c>
    </row>
    <row r="583" spans="2:15" ht="12.75">
      <c r="B583" s="195">
        <v>18.1</v>
      </c>
      <c r="C583" s="195">
        <v>2.8</v>
      </c>
      <c r="D583" s="195">
        <v>12.9</v>
      </c>
      <c r="F583" s="198">
        <v>831</v>
      </c>
      <c r="G583" s="195">
        <f>B583/F583*1000</f>
        <v>21.780986762936223</v>
      </c>
      <c r="I583" s="37" t="s">
        <v>666</v>
      </c>
      <c r="J583" s="61">
        <v>2.19</v>
      </c>
      <c r="K583" s="98">
        <f>J583*0.99</f>
        <v>2.1681</v>
      </c>
      <c r="L583" s="42">
        <v>160</v>
      </c>
      <c r="M583" s="41">
        <f>K583/L583*1000</f>
        <v>13.550625</v>
      </c>
      <c r="N583" s="70"/>
      <c r="O583" s="51" t="s">
        <v>2120</v>
      </c>
    </row>
    <row r="584" spans="2:15" ht="12.75">
      <c r="B584" s="195">
        <v>15.4</v>
      </c>
      <c r="C584" s="195">
        <v>4.8</v>
      </c>
      <c r="D584" s="195">
        <v>13.6</v>
      </c>
      <c r="F584" s="198">
        <v>847</v>
      </c>
      <c r="G584" s="195">
        <f>B584/F584*1000</f>
        <v>18.18181818181818</v>
      </c>
      <c r="I584" s="97" t="s">
        <v>2755</v>
      </c>
      <c r="J584" s="98">
        <v>1.99</v>
      </c>
      <c r="K584" s="5">
        <f>J584*0.98</f>
        <v>1.9502</v>
      </c>
      <c r="L584" s="42">
        <v>160</v>
      </c>
      <c r="M584" s="41">
        <f>K584/L584*1000</f>
        <v>12.18875</v>
      </c>
      <c r="N584" s="70"/>
      <c r="O584" s="88" t="s">
        <v>2054</v>
      </c>
    </row>
    <row r="585" spans="2:15" ht="12.75">
      <c r="B585" s="195">
        <v>15.4</v>
      </c>
      <c r="C585" s="195">
        <v>4.8</v>
      </c>
      <c r="D585" s="195">
        <v>13.6</v>
      </c>
      <c r="F585" s="198">
        <v>847</v>
      </c>
      <c r="G585" s="195">
        <f>B585/F585*1000</f>
        <v>18.18181818181818</v>
      </c>
      <c r="I585" s="40" t="s">
        <v>1230</v>
      </c>
      <c r="J585" s="151">
        <v>1.79</v>
      </c>
      <c r="K585" s="98">
        <f>J585*0.99</f>
        <v>1.7721</v>
      </c>
      <c r="L585" s="42">
        <v>160</v>
      </c>
      <c r="M585" s="41">
        <f>K585/L585*1000</f>
        <v>11.075625</v>
      </c>
      <c r="N585" s="915" t="s">
        <v>1362</v>
      </c>
      <c r="O585" s="125" t="s">
        <v>1444</v>
      </c>
    </row>
    <row r="586" spans="2:15" ht="12.75">
      <c r="B586" s="195">
        <v>15.4</v>
      </c>
      <c r="C586" s="195">
        <v>4.8</v>
      </c>
      <c r="D586" s="195">
        <v>13.6</v>
      </c>
      <c r="F586" s="198">
        <v>847</v>
      </c>
      <c r="G586" s="195">
        <f>B586/F586*1000</f>
        <v>18.18181818181818</v>
      </c>
      <c r="I586" s="37" t="s">
        <v>1230</v>
      </c>
      <c r="K586" s="46">
        <v>2.29</v>
      </c>
      <c r="L586" s="42">
        <v>160</v>
      </c>
      <c r="M586" s="41">
        <f>K586/L586*1000</f>
        <v>14.3125</v>
      </c>
      <c r="N586" s="70"/>
      <c r="O586" s="51" t="s">
        <v>2120</v>
      </c>
    </row>
    <row r="587" spans="2:15" ht="14.25">
      <c r="B587" s="195">
        <v>15.4</v>
      </c>
      <c r="C587" s="195">
        <v>4.8</v>
      </c>
      <c r="D587" s="195">
        <v>13.6</v>
      </c>
      <c r="F587" s="198">
        <v>847</v>
      </c>
      <c r="G587" s="195">
        <f t="shared" si="25"/>
        <v>18.18181818181818</v>
      </c>
      <c r="I587" s="28" t="s">
        <v>2416</v>
      </c>
      <c r="J587" s="96"/>
      <c r="K587" s="111">
        <v>1.99</v>
      </c>
      <c r="L587" s="30">
        <v>160</v>
      </c>
      <c r="M587" s="29">
        <f t="shared" si="24"/>
        <v>12.4375</v>
      </c>
      <c r="N587" s="70"/>
      <c r="O587" s="88" t="s">
        <v>144</v>
      </c>
    </row>
    <row r="588" spans="2:15" ht="12.75">
      <c r="B588" s="195">
        <v>15.4</v>
      </c>
      <c r="C588" s="195">
        <v>4.8</v>
      </c>
      <c r="D588" s="195">
        <v>13.6</v>
      </c>
      <c r="F588" s="198">
        <v>847</v>
      </c>
      <c r="G588" s="195">
        <f t="shared" si="25"/>
        <v>18.18181818181818</v>
      </c>
      <c r="I588" s="40" t="s">
        <v>2742</v>
      </c>
      <c r="J588" s="61"/>
      <c r="K588" s="98">
        <v>1.99</v>
      </c>
      <c r="L588" s="42">
        <v>160</v>
      </c>
      <c r="M588" s="41">
        <f t="shared" si="24"/>
        <v>12.4375</v>
      </c>
      <c r="N588" s="70"/>
      <c r="O588" s="88" t="s">
        <v>2670</v>
      </c>
    </row>
    <row r="589" spans="2:15" ht="12.75">
      <c r="B589" s="195">
        <v>18.1</v>
      </c>
      <c r="C589" s="195">
        <v>3.6</v>
      </c>
      <c r="D589" s="195">
        <v>18</v>
      </c>
      <c r="F589" s="198">
        <v>1035</v>
      </c>
      <c r="G589" s="195">
        <f>B589/F589*1000</f>
        <v>17.487922705314013</v>
      </c>
      <c r="I589" s="40" t="s">
        <v>538</v>
      </c>
      <c r="J589" s="151">
        <v>1.79</v>
      </c>
      <c r="K589" s="98">
        <f>J589*0.99</f>
        <v>1.7721</v>
      </c>
      <c r="L589" s="42">
        <v>160</v>
      </c>
      <c r="M589" s="41">
        <f>K589/L589*1000</f>
        <v>11.075625</v>
      </c>
      <c r="N589" s="915" t="s">
        <v>1362</v>
      </c>
      <c r="O589" s="125" t="s">
        <v>1444</v>
      </c>
    </row>
    <row r="590" spans="2:15" ht="12.75">
      <c r="B590" s="195">
        <v>18.1</v>
      </c>
      <c r="C590" s="195">
        <v>3.6</v>
      </c>
      <c r="D590" s="195">
        <v>18</v>
      </c>
      <c r="F590" s="198">
        <v>1035</v>
      </c>
      <c r="G590" s="195">
        <f t="shared" si="25"/>
        <v>17.487922705314013</v>
      </c>
      <c r="I590" s="37" t="s">
        <v>538</v>
      </c>
      <c r="J590" s="61">
        <v>2.29</v>
      </c>
      <c r="K590" s="98">
        <f>J590*0.99</f>
        <v>2.2671</v>
      </c>
      <c r="L590" s="42">
        <v>160</v>
      </c>
      <c r="M590" s="41">
        <f t="shared" si="24"/>
        <v>14.169375000000002</v>
      </c>
      <c r="N590" s="70"/>
      <c r="O590" s="51" t="s">
        <v>2120</v>
      </c>
    </row>
    <row r="591" spans="2:15" s="10" customFormat="1" ht="12.75">
      <c r="B591" s="218">
        <v>18.1</v>
      </c>
      <c r="C591" s="218">
        <v>3.6</v>
      </c>
      <c r="D591" s="218">
        <v>18</v>
      </c>
      <c r="E591" s="737"/>
      <c r="F591" s="219">
        <v>1035</v>
      </c>
      <c r="G591" s="218">
        <f t="shared" si="25"/>
        <v>17.487922705314013</v>
      </c>
      <c r="H591" s="218"/>
      <c r="I591" s="362" t="s">
        <v>192</v>
      </c>
      <c r="J591" s="601"/>
      <c r="K591" s="360">
        <v>1.99</v>
      </c>
      <c r="L591" s="361">
        <v>160</v>
      </c>
      <c r="M591" s="360">
        <f t="shared" si="24"/>
        <v>12.4375</v>
      </c>
      <c r="N591" s="220"/>
      <c r="O591" s="217" t="s">
        <v>2054</v>
      </c>
    </row>
    <row r="592" spans="9:15" ht="14.25">
      <c r="I592" s="28" t="s">
        <v>1988</v>
      </c>
      <c r="J592" s="96"/>
      <c r="K592" s="111">
        <v>1.79</v>
      </c>
      <c r="L592" s="30">
        <v>160</v>
      </c>
      <c r="M592" s="29">
        <f t="shared" si="24"/>
        <v>11.1875</v>
      </c>
      <c r="N592" s="70"/>
      <c r="O592" s="88" t="s">
        <v>2840</v>
      </c>
    </row>
    <row r="593" spans="9:15" ht="14.25">
      <c r="I593" s="28" t="s">
        <v>801</v>
      </c>
      <c r="J593" s="96"/>
      <c r="K593" s="111">
        <v>1.79</v>
      </c>
      <c r="L593" s="30">
        <v>160</v>
      </c>
      <c r="M593" s="29">
        <f aca="true" t="shared" si="26" ref="M593:M602">K593/L593*1000</f>
        <v>11.1875</v>
      </c>
      <c r="N593" s="70"/>
      <c r="O593" s="88" t="s">
        <v>2840</v>
      </c>
    </row>
    <row r="594" spans="9:15" ht="12.75">
      <c r="I594" s="6"/>
      <c r="J594" s="55"/>
      <c r="K594" s="73"/>
      <c r="L594" s="7"/>
      <c r="M594" s="16"/>
      <c r="N594" s="70"/>
      <c r="O594" s="88"/>
    </row>
    <row r="595" spans="9:16" ht="12.75">
      <c r="I595" s="31" t="s">
        <v>2726</v>
      </c>
      <c r="J595" s="66">
        <v>3.49</v>
      </c>
      <c r="K595" s="95">
        <f>J595*0.97</f>
        <v>3.3853</v>
      </c>
      <c r="L595" s="33">
        <v>210</v>
      </c>
      <c r="M595" s="32">
        <f t="shared" si="26"/>
        <v>16.120476190476193</v>
      </c>
      <c r="N595" s="70"/>
      <c r="O595" s="88" t="s">
        <v>959</v>
      </c>
      <c r="P595" s="5"/>
    </row>
    <row r="596" spans="1:16" s="10" customFormat="1" ht="12.75">
      <c r="A596" s="3"/>
      <c r="B596" s="195"/>
      <c r="C596" s="195"/>
      <c r="D596" s="195"/>
      <c r="E596" s="732"/>
      <c r="F596" s="198"/>
      <c r="G596" s="195"/>
      <c r="H596" s="195"/>
      <c r="I596" s="75" t="s">
        <v>844</v>
      </c>
      <c r="J596" s="155">
        <v>3.49</v>
      </c>
      <c r="K596" s="76">
        <f>J596*0.97</f>
        <v>3.3853</v>
      </c>
      <c r="L596" s="77">
        <v>250</v>
      </c>
      <c r="M596" s="76">
        <f t="shared" si="26"/>
        <v>13.5412</v>
      </c>
      <c r="N596" s="220"/>
      <c r="O596" s="217" t="s">
        <v>2371</v>
      </c>
      <c r="P596" s="9"/>
    </row>
    <row r="597" spans="2:16" ht="12.75">
      <c r="B597" s="195">
        <v>8.5</v>
      </c>
      <c r="C597" s="195">
        <v>23.9</v>
      </c>
      <c r="D597" s="195">
        <v>16.4</v>
      </c>
      <c r="F597" s="198">
        <v>1158</v>
      </c>
      <c r="G597" s="195">
        <f>B597/F597*1000</f>
        <v>7.3402417962003454</v>
      </c>
      <c r="I597" s="43" t="s">
        <v>1692</v>
      </c>
      <c r="J597" s="66">
        <v>3.35</v>
      </c>
      <c r="K597" s="95">
        <f>J597*0.97</f>
        <v>3.2495</v>
      </c>
      <c r="L597" s="33">
        <v>200</v>
      </c>
      <c r="M597" s="32">
        <f t="shared" si="26"/>
        <v>16.2475</v>
      </c>
      <c r="N597" s="70"/>
      <c r="O597" s="88" t="s">
        <v>318</v>
      </c>
      <c r="P597" s="5"/>
    </row>
    <row r="598" spans="9:15" ht="12.75">
      <c r="I598" s="43" t="s">
        <v>366</v>
      </c>
      <c r="J598" s="66">
        <v>3.49</v>
      </c>
      <c r="K598" s="95">
        <f>J598*0.97</f>
        <v>3.3853</v>
      </c>
      <c r="L598" s="33">
        <v>200</v>
      </c>
      <c r="M598" s="32">
        <f t="shared" si="26"/>
        <v>16.9265</v>
      </c>
      <c r="N598" s="70"/>
      <c r="O598" s="88" t="s">
        <v>1796</v>
      </c>
    </row>
    <row r="599" spans="1:15" s="10" customFormat="1" ht="12.75">
      <c r="A599" s="3"/>
      <c r="B599" s="195"/>
      <c r="C599" s="195"/>
      <c r="D599" s="195"/>
      <c r="E599" s="732"/>
      <c r="F599" s="198"/>
      <c r="G599" s="195"/>
      <c r="H599" s="195"/>
      <c r="I599" s="221" t="s">
        <v>1017</v>
      </c>
      <c r="J599" s="155"/>
      <c r="K599" s="76">
        <v>2.99</v>
      </c>
      <c r="L599" s="77">
        <v>200</v>
      </c>
      <c r="M599" s="76">
        <f t="shared" si="26"/>
        <v>14.950000000000001</v>
      </c>
      <c r="N599" s="220"/>
      <c r="O599" s="217" t="s">
        <v>1304</v>
      </c>
    </row>
    <row r="600" spans="9:15" ht="12.75">
      <c r="I600" s="56" t="s">
        <v>1503</v>
      </c>
      <c r="J600" s="165">
        <v>3.55</v>
      </c>
      <c r="K600" s="95">
        <f>J600*0.97</f>
        <v>3.4435</v>
      </c>
      <c r="L600" s="33">
        <v>200</v>
      </c>
      <c r="M600" s="32">
        <f t="shared" si="26"/>
        <v>17.2175</v>
      </c>
      <c r="N600" s="212" t="s">
        <v>556</v>
      </c>
      <c r="O600" s="88" t="s">
        <v>2657</v>
      </c>
    </row>
    <row r="601" spans="9:15" ht="12.75">
      <c r="I601" s="56" t="s">
        <v>3025</v>
      </c>
      <c r="J601" s="66">
        <v>3.49</v>
      </c>
      <c r="K601" s="95">
        <f>J601*0.97</f>
        <v>3.3853</v>
      </c>
      <c r="L601" s="33">
        <v>200</v>
      </c>
      <c r="M601" s="32">
        <f t="shared" si="26"/>
        <v>16.9265</v>
      </c>
      <c r="N601" s="212" t="s">
        <v>556</v>
      </c>
      <c r="O601" s="88" t="s">
        <v>1649</v>
      </c>
    </row>
    <row r="602" spans="1:15" s="10" customFormat="1" ht="12.75">
      <c r="A602" s="3"/>
      <c r="B602" s="195"/>
      <c r="C602" s="195"/>
      <c r="D602" s="195"/>
      <c r="E602" s="732"/>
      <c r="F602" s="198"/>
      <c r="G602" s="195"/>
      <c r="H602" s="195"/>
      <c r="I602" s="215" t="s">
        <v>2857</v>
      </c>
      <c r="J602" s="155"/>
      <c r="K602" s="76">
        <v>3.29</v>
      </c>
      <c r="L602" s="77">
        <v>200</v>
      </c>
      <c r="M602" s="76">
        <f t="shared" si="26"/>
        <v>16.45</v>
      </c>
      <c r="N602" s="216" t="s">
        <v>556</v>
      </c>
      <c r="O602" s="217" t="s">
        <v>1639</v>
      </c>
    </row>
    <row r="603" spans="1:15" s="10" customFormat="1" ht="12.75">
      <c r="A603" s="3"/>
      <c r="B603" s="195"/>
      <c r="C603" s="195"/>
      <c r="D603" s="195"/>
      <c r="E603" s="732"/>
      <c r="F603" s="198"/>
      <c r="G603" s="195"/>
      <c r="H603" s="195"/>
      <c r="I603" s="215" t="s">
        <v>1459</v>
      </c>
      <c r="J603" s="155"/>
      <c r="K603" s="76"/>
      <c r="L603" s="77"/>
      <c r="M603" s="76"/>
      <c r="N603" s="216" t="s">
        <v>556</v>
      </c>
      <c r="O603" s="217" t="s">
        <v>1639</v>
      </c>
    </row>
    <row r="604" spans="2:15" ht="12.75">
      <c r="B604" s="195">
        <v>7.4</v>
      </c>
      <c r="C604" s="195">
        <v>26.4</v>
      </c>
      <c r="D604" s="195">
        <v>9.8</v>
      </c>
      <c r="F604" s="198">
        <v>937</v>
      </c>
      <c r="G604" s="195">
        <f>B604/F604*1000</f>
        <v>7.897545357524013</v>
      </c>
      <c r="I604" s="37" t="s">
        <v>317</v>
      </c>
      <c r="J604" s="61">
        <v>3.99</v>
      </c>
      <c r="K604" s="98">
        <f>J604*0.97</f>
        <v>3.8703000000000003</v>
      </c>
      <c r="L604" s="42">
        <v>200</v>
      </c>
      <c r="M604" s="41">
        <f aca="true" t="shared" si="27" ref="M604:M609">K604/L604*1000</f>
        <v>19.3515</v>
      </c>
      <c r="N604" s="258"/>
      <c r="O604" s="88" t="s">
        <v>2353</v>
      </c>
    </row>
    <row r="605" spans="2:15" ht="12.75">
      <c r="B605" s="195">
        <v>7.4</v>
      </c>
      <c r="C605" s="195">
        <v>26.4</v>
      </c>
      <c r="D605" s="195">
        <v>9.8</v>
      </c>
      <c r="F605" s="198">
        <v>937</v>
      </c>
      <c r="G605" s="195">
        <f>B605/F605*1000</f>
        <v>7.897545357524013</v>
      </c>
      <c r="I605" s="28" t="s">
        <v>317</v>
      </c>
      <c r="J605" s="96">
        <v>3.85</v>
      </c>
      <c r="K605" s="111">
        <f>J605*0.97</f>
        <v>3.7345</v>
      </c>
      <c r="L605" s="30">
        <v>200</v>
      </c>
      <c r="M605" s="29">
        <f t="shared" si="27"/>
        <v>18.672500000000003</v>
      </c>
      <c r="N605" s="258"/>
      <c r="O605" s="88" t="s">
        <v>2731</v>
      </c>
    </row>
    <row r="606" spans="2:15" ht="12.75">
      <c r="B606" s="195">
        <v>7.4</v>
      </c>
      <c r="C606" s="195">
        <v>26.4</v>
      </c>
      <c r="D606" s="195">
        <v>9.8</v>
      </c>
      <c r="F606" s="198">
        <v>937</v>
      </c>
      <c r="G606" s="195">
        <f>B606/F606*1000</f>
        <v>7.897545357524013</v>
      </c>
      <c r="I606" s="28" t="s">
        <v>317</v>
      </c>
      <c r="J606" s="96">
        <v>3.75</v>
      </c>
      <c r="K606" s="111">
        <f>J606*0.97</f>
        <v>3.6374999999999997</v>
      </c>
      <c r="L606" s="30">
        <v>200</v>
      </c>
      <c r="M606" s="29">
        <f t="shared" si="27"/>
        <v>18.1875</v>
      </c>
      <c r="N606" s="258"/>
      <c r="O606" s="88" t="s">
        <v>1872</v>
      </c>
    </row>
    <row r="607" spans="2:15" ht="12.75">
      <c r="B607" s="195">
        <v>7.4</v>
      </c>
      <c r="C607" s="195">
        <v>26.4</v>
      </c>
      <c r="D607" s="195">
        <v>9.8</v>
      </c>
      <c r="F607" s="198">
        <v>937</v>
      </c>
      <c r="G607" s="195">
        <f>B607/F607*1000</f>
        <v>7.897545357524013</v>
      </c>
      <c r="I607" s="71" t="s">
        <v>2557</v>
      </c>
      <c r="J607" s="96"/>
      <c r="K607" s="111">
        <v>3.29</v>
      </c>
      <c r="L607" s="30">
        <v>200</v>
      </c>
      <c r="M607" s="29">
        <f t="shared" si="27"/>
        <v>16.45</v>
      </c>
      <c r="N607" s="70"/>
      <c r="O607" s="88" t="s">
        <v>2213</v>
      </c>
    </row>
    <row r="608" spans="2:15" ht="12.75">
      <c r="B608" s="195">
        <v>7.4</v>
      </c>
      <c r="C608" s="195">
        <v>26.4</v>
      </c>
      <c r="D608" s="195">
        <v>9.8</v>
      </c>
      <c r="F608" s="198">
        <v>937</v>
      </c>
      <c r="G608" s="195">
        <f>B608/F608*1000</f>
        <v>7.897545357524013</v>
      </c>
      <c r="I608" s="71" t="s">
        <v>2557</v>
      </c>
      <c r="J608" s="96"/>
      <c r="K608" s="111">
        <v>3.25</v>
      </c>
      <c r="L608" s="30">
        <v>200</v>
      </c>
      <c r="M608" s="29">
        <f t="shared" si="27"/>
        <v>16.25</v>
      </c>
      <c r="N608" s="249"/>
      <c r="O608" s="88" t="s">
        <v>1304</v>
      </c>
    </row>
    <row r="609" spans="9:15" ht="12.75">
      <c r="I609" s="59" t="s">
        <v>2955</v>
      </c>
      <c r="J609" s="66"/>
      <c r="K609" s="95">
        <v>3.49</v>
      </c>
      <c r="L609" s="33">
        <v>200</v>
      </c>
      <c r="M609" s="32">
        <f t="shared" si="27"/>
        <v>17.45</v>
      </c>
      <c r="N609" s="70"/>
      <c r="O609" s="51" t="s">
        <v>1904</v>
      </c>
    </row>
    <row r="610" spans="2:15" s="10" customFormat="1" ht="12.75">
      <c r="B610" s="218"/>
      <c r="C610" s="218"/>
      <c r="D610" s="218"/>
      <c r="E610" s="737"/>
      <c r="F610" s="219"/>
      <c r="G610" s="218"/>
      <c r="H610" s="218"/>
      <c r="I610" s="373" t="s">
        <v>1504</v>
      </c>
      <c r="J610" s="374">
        <v>3.7</v>
      </c>
      <c r="K610" s="375">
        <f>J610*0.97</f>
        <v>3.589</v>
      </c>
      <c r="L610" s="376">
        <v>200</v>
      </c>
      <c r="M610" s="375">
        <f aca="true" t="shared" si="28" ref="M610:M618">K610/L610*1000</f>
        <v>17.945</v>
      </c>
      <c r="N610" s="220"/>
      <c r="O610" s="217" t="s">
        <v>2840</v>
      </c>
    </row>
    <row r="611" spans="1:15" s="227" customFormat="1" ht="12.75">
      <c r="A611" s="3"/>
      <c r="B611" s="195">
        <v>4.4</v>
      </c>
      <c r="C611" s="195">
        <v>26</v>
      </c>
      <c r="D611" s="195">
        <v>10.9</v>
      </c>
      <c r="E611" s="732"/>
      <c r="F611" s="198">
        <v>913</v>
      </c>
      <c r="G611" s="195">
        <f>B611/F611*1000</f>
        <v>4.819277108433735</v>
      </c>
      <c r="H611" s="195"/>
      <c r="I611" s="31" t="s">
        <v>2836</v>
      </c>
      <c r="J611" s="66"/>
      <c r="K611" s="569">
        <v>3.49</v>
      </c>
      <c r="L611" s="33">
        <v>220</v>
      </c>
      <c r="M611" s="32">
        <f>K611/L611*1000</f>
        <v>15.863636363636365</v>
      </c>
      <c r="N611" s="212" t="s">
        <v>556</v>
      </c>
      <c r="O611" s="88" t="s">
        <v>2613</v>
      </c>
    </row>
    <row r="612" spans="2:15" s="3" customFormat="1" ht="12.75">
      <c r="B612" s="196"/>
      <c r="C612" s="196"/>
      <c r="D612" s="196"/>
      <c r="E612" s="738"/>
      <c r="F612" s="199"/>
      <c r="G612" s="196"/>
      <c r="H612" s="196"/>
      <c r="I612" s="306" t="s">
        <v>2051</v>
      </c>
      <c r="J612" s="253"/>
      <c r="K612" s="569">
        <v>3.49</v>
      </c>
      <c r="L612" s="134">
        <v>220</v>
      </c>
      <c r="M612" s="95">
        <f>K612/L612*1000</f>
        <v>15.863636363636365</v>
      </c>
      <c r="N612" s="568" t="s">
        <v>556</v>
      </c>
      <c r="O612" s="286" t="s">
        <v>2802</v>
      </c>
    </row>
    <row r="613" spans="2:15" s="10" customFormat="1" ht="12.75">
      <c r="B613" s="218"/>
      <c r="C613" s="218"/>
      <c r="D613" s="218"/>
      <c r="E613" s="737"/>
      <c r="F613" s="219"/>
      <c r="G613" s="218"/>
      <c r="H613" s="218"/>
      <c r="I613" s="255" t="s">
        <v>2052</v>
      </c>
      <c r="J613" s="256"/>
      <c r="K613" s="257">
        <v>3.89</v>
      </c>
      <c r="L613" s="77">
        <v>220</v>
      </c>
      <c r="M613" s="76">
        <f t="shared" si="28"/>
        <v>17.681818181818183</v>
      </c>
      <c r="N613" s="216" t="s">
        <v>556</v>
      </c>
      <c r="O613" s="217" t="s">
        <v>752</v>
      </c>
    </row>
    <row r="614" spans="2:15" s="3" customFormat="1" ht="12.75">
      <c r="B614" s="195">
        <v>4.6</v>
      </c>
      <c r="C614" s="195">
        <v>22.9</v>
      </c>
      <c r="D614" s="195">
        <v>12.4</v>
      </c>
      <c r="E614" s="732"/>
      <c r="F614" s="198">
        <v>942</v>
      </c>
      <c r="G614" s="195">
        <f aca="true" t="shared" si="29" ref="G614:G619">B614/F614*1000</f>
        <v>4.883227176220807</v>
      </c>
      <c r="H614" s="195"/>
      <c r="I614" s="109" t="s">
        <v>2440</v>
      </c>
      <c r="J614" s="120">
        <v>2.79</v>
      </c>
      <c r="K614" s="890">
        <f>J614*0.99</f>
        <v>2.7621</v>
      </c>
      <c r="L614" s="23">
        <v>200</v>
      </c>
      <c r="M614" s="22">
        <f>K614/L614*1000</f>
        <v>13.810500000000001</v>
      </c>
      <c r="N614" s="779" t="s">
        <v>1362</v>
      </c>
      <c r="O614" s="88" t="s">
        <v>337</v>
      </c>
    </row>
    <row r="615" spans="2:15" s="3" customFormat="1" ht="12.75">
      <c r="B615" s="195">
        <v>5.13</v>
      </c>
      <c r="C615" s="195">
        <v>27.4</v>
      </c>
      <c r="D615" s="195">
        <v>14.6</v>
      </c>
      <c r="E615" s="732"/>
      <c r="F615" s="198">
        <v>1109</v>
      </c>
      <c r="G615" s="195">
        <f t="shared" si="29"/>
        <v>4.625788999098287</v>
      </c>
      <c r="H615" s="195"/>
      <c r="I615" s="109" t="s">
        <v>1306</v>
      </c>
      <c r="J615" s="120">
        <v>2.79</v>
      </c>
      <c r="K615" s="890">
        <f>J615*0.99</f>
        <v>2.7621</v>
      </c>
      <c r="L615" s="23">
        <v>200</v>
      </c>
      <c r="M615" s="22">
        <f>K615/L615*1000</f>
        <v>13.810500000000001</v>
      </c>
      <c r="N615" s="779" t="s">
        <v>1362</v>
      </c>
      <c r="O615" s="88" t="s">
        <v>337</v>
      </c>
    </row>
    <row r="616" spans="2:15" s="3" customFormat="1" ht="12.75">
      <c r="B616" s="195">
        <v>4.6</v>
      </c>
      <c r="C616" s="195">
        <v>22.9</v>
      </c>
      <c r="D616" s="195">
        <v>12.4</v>
      </c>
      <c r="E616" s="732"/>
      <c r="F616" s="198">
        <v>942</v>
      </c>
      <c r="G616" s="195">
        <f t="shared" si="29"/>
        <v>4.883227176220807</v>
      </c>
      <c r="H616" s="195"/>
      <c r="I616" s="40" t="s">
        <v>1358</v>
      </c>
      <c r="J616" s="96"/>
      <c r="K616" s="98">
        <v>2.99</v>
      </c>
      <c r="L616" s="42">
        <v>200</v>
      </c>
      <c r="M616" s="41">
        <f>K616/L616*1000</f>
        <v>14.950000000000001</v>
      </c>
      <c r="N616" s="212" t="s">
        <v>556</v>
      </c>
      <c r="O616" s="125" t="s">
        <v>10</v>
      </c>
    </row>
    <row r="617" spans="1:15" s="227" customFormat="1" ht="12.75">
      <c r="A617" s="3"/>
      <c r="B617" s="195">
        <v>5.13</v>
      </c>
      <c r="C617" s="195">
        <v>27.4</v>
      </c>
      <c r="D617" s="195">
        <v>14.6</v>
      </c>
      <c r="E617" s="732"/>
      <c r="F617" s="198">
        <v>1109</v>
      </c>
      <c r="G617" s="195">
        <f t="shared" si="29"/>
        <v>4.625788999098287</v>
      </c>
      <c r="H617" s="195"/>
      <c r="I617" s="40" t="s">
        <v>2160</v>
      </c>
      <c r="J617" s="96"/>
      <c r="K617" s="98">
        <v>2.99</v>
      </c>
      <c r="L617" s="42">
        <v>200</v>
      </c>
      <c r="M617" s="41">
        <f t="shared" si="28"/>
        <v>14.950000000000001</v>
      </c>
      <c r="N617" s="212" t="s">
        <v>556</v>
      </c>
      <c r="O617" s="125" t="s">
        <v>10</v>
      </c>
    </row>
    <row r="618" spans="2:15" s="3" customFormat="1" ht="12.75">
      <c r="B618" s="196">
        <v>8.5</v>
      </c>
      <c r="C618" s="196">
        <v>26.5</v>
      </c>
      <c r="D618" s="196">
        <v>15.3</v>
      </c>
      <c r="E618" s="738"/>
      <c r="F618" s="199">
        <v>1161</v>
      </c>
      <c r="G618" s="196">
        <f t="shared" si="29"/>
        <v>7.321274763135229</v>
      </c>
      <c r="H618" s="196"/>
      <c r="I618" s="306" t="s">
        <v>1388</v>
      </c>
      <c r="J618" s="253"/>
      <c r="K618" s="95">
        <v>2.99</v>
      </c>
      <c r="L618" s="134">
        <v>250</v>
      </c>
      <c r="M618" s="95">
        <f t="shared" si="28"/>
        <v>11.96</v>
      </c>
      <c r="N618" s="307"/>
      <c r="O618" s="286" t="s">
        <v>1646</v>
      </c>
    </row>
    <row r="619" spans="1:15" s="10" customFormat="1" ht="12.75">
      <c r="A619" s="3"/>
      <c r="B619" s="195">
        <v>8.6</v>
      </c>
      <c r="C619" s="195">
        <v>26.1</v>
      </c>
      <c r="D619" s="195">
        <v>14.1</v>
      </c>
      <c r="E619" s="732"/>
      <c r="F619" s="198">
        <v>1112</v>
      </c>
      <c r="G619" s="195">
        <f t="shared" si="29"/>
        <v>7.733812949640287</v>
      </c>
      <c r="H619" s="195"/>
      <c r="I619" s="75" t="s">
        <v>1126</v>
      </c>
      <c r="J619" s="155"/>
      <c r="K619" s="76">
        <v>2.99</v>
      </c>
      <c r="L619" s="77">
        <v>250</v>
      </c>
      <c r="M619" s="76">
        <f>K619/L619*1000</f>
        <v>11.96</v>
      </c>
      <c r="N619" s="247"/>
      <c r="O619" s="217" t="s">
        <v>2213</v>
      </c>
    </row>
    <row r="620" spans="9:16" ht="12.75">
      <c r="I620" s="21" t="s">
        <v>1903</v>
      </c>
      <c r="J620" s="120"/>
      <c r="K620" s="12">
        <v>3.49</v>
      </c>
      <c r="L620" s="23">
        <v>275</v>
      </c>
      <c r="M620" s="22">
        <f>K620/L620*1000</f>
        <v>12.690909090909091</v>
      </c>
      <c r="N620" s="422"/>
      <c r="O620" s="101" t="s">
        <v>2213</v>
      </c>
      <c r="P620" s="23"/>
    </row>
    <row r="621" spans="2:16" ht="12.75">
      <c r="B621" s="195">
        <v>8.6</v>
      </c>
      <c r="C621" s="195">
        <v>27.6</v>
      </c>
      <c r="D621" s="195">
        <v>16.7</v>
      </c>
      <c r="F621" s="198">
        <v>1233</v>
      </c>
      <c r="G621" s="195">
        <f>B621/F621*1000</f>
        <v>6.9748580697485805</v>
      </c>
      <c r="I621" s="28" t="s">
        <v>364</v>
      </c>
      <c r="J621" s="599"/>
      <c r="K621" s="569">
        <v>3.49</v>
      </c>
      <c r="L621" s="42">
        <v>275</v>
      </c>
      <c r="M621" s="41">
        <f>K621/L621*1000</f>
        <v>12.690909090909091</v>
      </c>
      <c r="N621" s="600"/>
      <c r="O621" s="125" t="s">
        <v>1246</v>
      </c>
      <c r="P621" s="23"/>
    </row>
    <row r="622" spans="9:16" ht="12.75">
      <c r="I622" s="21" t="s">
        <v>1152</v>
      </c>
      <c r="J622" s="120">
        <v>3.89</v>
      </c>
      <c r="K622" s="12">
        <f>J622*0.97</f>
        <v>3.7733</v>
      </c>
      <c r="L622" s="23">
        <v>275</v>
      </c>
      <c r="M622" s="22">
        <f>K622/L622*1000</f>
        <v>13.721090909090908</v>
      </c>
      <c r="N622" s="422"/>
      <c r="O622" s="101" t="s">
        <v>2840</v>
      </c>
      <c r="P622" s="23"/>
    </row>
    <row r="623" spans="9:16" ht="12.75">
      <c r="I623" s="21" t="s">
        <v>1152</v>
      </c>
      <c r="J623" s="120">
        <v>3.55</v>
      </c>
      <c r="K623" s="12">
        <f>J623*0.97</f>
        <v>3.4435</v>
      </c>
      <c r="L623" s="23">
        <v>275</v>
      </c>
      <c r="M623" s="22">
        <f>K623/L623*1000</f>
        <v>12.521818181818182</v>
      </c>
      <c r="N623" s="422"/>
      <c r="O623" s="101" t="s">
        <v>92</v>
      </c>
      <c r="P623" s="423" t="s">
        <v>2801</v>
      </c>
    </row>
    <row r="624" spans="9:15" ht="12.75">
      <c r="I624" s="135"/>
      <c r="J624" s="139"/>
      <c r="K624" s="136"/>
      <c r="L624" s="137"/>
      <c r="M624" s="138"/>
      <c r="N624" s="70"/>
      <c r="O624" s="88"/>
    </row>
    <row r="625" spans="9:15" ht="12.75">
      <c r="I625" s="6"/>
      <c r="J625" s="55"/>
      <c r="K625" s="73"/>
      <c r="L625" s="7"/>
      <c r="M625" s="16"/>
      <c r="N625" s="70"/>
      <c r="O625" s="88"/>
    </row>
    <row r="626" spans="9:15" ht="15.75">
      <c r="I626" s="178" t="s">
        <v>2072</v>
      </c>
      <c r="J626" s="55"/>
      <c r="K626" s="73"/>
      <c r="L626" s="7" t="s">
        <v>2966</v>
      </c>
      <c r="M626" s="16"/>
      <c r="N626" s="70"/>
      <c r="O626" s="88"/>
    </row>
    <row r="627" spans="9:15" ht="12.75">
      <c r="I627" s="97" t="s">
        <v>3197</v>
      </c>
      <c r="J627" s="61"/>
      <c r="K627" s="98">
        <v>1.79</v>
      </c>
      <c r="L627" s="42">
        <v>450</v>
      </c>
      <c r="M627" s="1526">
        <f aca="true" t="shared" si="30" ref="M627:M634">K627/L627*1000</f>
        <v>3.977777777777778</v>
      </c>
      <c r="N627" s="212"/>
      <c r="O627" s="88" t="s">
        <v>3180</v>
      </c>
    </row>
    <row r="628" spans="2:15" ht="12.75">
      <c r="B628" s="195">
        <v>1.5</v>
      </c>
      <c r="C628" s="195">
        <v>0.8</v>
      </c>
      <c r="D628" s="195">
        <v>0.4</v>
      </c>
      <c r="F628" s="198">
        <v>88</v>
      </c>
      <c r="G628" s="195">
        <f>B628/F628*1000</f>
        <v>17.045454545454543</v>
      </c>
      <c r="I628" s="6" t="s">
        <v>2109</v>
      </c>
      <c r="J628" s="46"/>
      <c r="K628" s="53">
        <v>0.59</v>
      </c>
      <c r="L628" s="26">
        <v>425</v>
      </c>
      <c r="M628" s="25">
        <f t="shared" si="30"/>
        <v>1.388235294117647</v>
      </c>
      <c r="N628" s="70"/>
      <c r="O628" s="88" t="s">
        <v>2778</v>
      </c>
    </row>
    <row r="629" spans="2:15" ht="12.75">
      <c r="B629" s="195">
        <v>1.1</v>
      </c>
      <c r="C629" s="195">
        <v>2.7</v>
      </c>
      <c r="D629" s="195">
        <v>0.4</v>
      </c>
      <c r="F629" s="198">
        <v>106</v>
      </c>
      <c r="G629" s="195">
        <f>B629/F629*1000</f>
        <v>10.377358490566039</v>
      </c>
      <c r="I629" s="147" t="s">
        <v>280</v>
      </c>
      <c r="J629" s="162"/>
      <c r="K629" s="191">
        <v>0.51</v>
      </c>
      <c r="L629" s="1442">
        <v>500</v>
      </c>
      <c r="M629" s="721">
        <f t="shared" si="30"/>
        <v>1.02</v>
      </c>
      <c r="N629" s="70"/>
      <c r="O629" s="88" t="s">
        <v>1308</v>
      </c>
    </row>
    <row r="630" spans="2:15" ht="12.75">
      <c r="B630" s="195">
        <v>1.4</v>
      </c>
      <c r="C630" s="195">
        <v>0.6</v>
      </c>
      <c r="D630" s="195">
        <v>0.4</v>
      </c>
      <c r="F630" s="198">
        <v>73</v>
      </c>
      <c r="G630" s="195">
        <f>B630/F630*1000</f>
        <v>19.17808219178082</v>
      </c>
      <c r="I630" s="15" t="s">
        <v>279</v>
      </c>
      <c r="J630" s="55"/>
      <c r="K630" s="73">
        <v>0.59</v>
      </c>
      <c r="L630" s="7">
        <v>450</v>
      </c>
      <c r="M630" s="16">
        <f>K630/L630*1000</f>
        <v>1.311111111111111</v>
      </c>
      <c r="N630" s="212"/>
      <c r="O630" s="88" t="s">
        <v>2514</v>
      </c>
    </row>
    <row r="631" spans="2:15" ht="12.75">
      <c r="B631" s="195">
        <v>1.4</v>
      </c>
      <c r="C631" s="195">
        <v>0.6</v>
      </c>
      <c r="D631" s="195">
        <v>0.4</v>
      </c>
      <c r="F631" s="198">
        <v>73</v>
      </c>
      <c r="G631" s="195">
        <f>B631/F631*1000</f>
        <v>19.17808219178082</v>
      </c>
      <c r="I631" s="97" t="s">
        <v>2954</v>
      </c>
      <c r="J631" s="61"/>
      <c r="K631" s="98">
        <v>1.25</v>
      </c>
      <c r="L631" s="42">
        <v>450</v>
      </c>
      <c r="M631" s="41">
        <f t="shared" si="30"/>
        <v>2.7777777777777777</v>
      </c>
      <c r="N631" s="212"/>
      <c r="O631" s="88" t="s">
        <v>2514</v>
      </c>
    </row>
    <row r="632" spans="2:15" ht="12.75">
      <c r="B632" s="195">
        <v>1.3</v>
      </c>
      <c r="C632" s="195">
        <v>3.3</v>
      </c>
      <c r="D632" s="195">
        <v>0.2</v>
      </c>
      <c r="F632" s="198">
        <v>102</v>
      </c>
      <c r="G632" s="195">
        <f>B632/F632*1000</f>
        <v>12.745098039215685</v>
      </c>
      <c r="I632" s="97" t="s">
        <v>2139</v>
      </c>
      <c r="J632" s="61"/>
      <c r="K632" s="98">
        <v>1.25</v>
      </c>
      <c r="L632" s="1441">
        <v>500</v>
      </c>
      <c r="M632" s="41">
        <f t="shared" si="30"/>
        <v>2.5</v>
      </c>
      <c r="N632" s="212" t="s">
        <v>2140</v>
      </c>
      <c r="O632" s="51" t="s">
        <v>175</v>
      </c>
    </row>
    <row r="633" spans="9:15" ht="12.75">
      <c r="I633" s="6" t="s">
        <v>246</v>
      </c>
      <c r="J633" s="46"/>
      <c r="K633" s="73">
        <v>0.59</v>
      </c>
      <c r="L633" s="1440">
        <v>500</v>
      </c>
      <c r="M633" s="16">
        <f t="shared" si="30"/>
        <v>1.18</v>
      </c>
      <c r="N633" s="70"/>
      <c r="O633" s="88" t="s">
        <v>3121</v>
      </c>
    </row>
    <row r="634" spans="9:15" ht="12.75">
      <c r="I634" s="6" t="s">
        <v>2138</v>
      </c>
      <c r="J634" s="46"/>
      <c r="K634" s="73">
        <v>0.69</v>
      </c>
      <c r="L634" s="7">
        <v>425</v>
      </c>
      <c r="M634" s="16">
        <f t="shared" si="30"/>
        <v>1.6235294117647057</v>
      </c>
      <c r="N634" s="70"/>
      <c r="O634" s="88" t="s">
        <v>175</v>
      </c>
    </row>
    <row r="635" spans="2:15" ht="12.75">
      <c r="B635" s="195">
        <v>1.3</v>
      </c>
      <c r="C635" s="195">
        <v>3.3</v>
      </c>
      <c r="D635" s="195">
        <v>0.2</v>
      </c>
      <c r="F635" s="198">
        <v>102</v>
      </c>
      <c r="G635" s="195">
        <f>B635/F635*1000</f>
        <v>12.745098039215685</v>
      </c>
      <c r="I635" s="109" t="s">
        <v>797</v>
      </c>
      <c r="J635" s="120">
        <v>1.99</v>
      </c>
      <c r="K635" s="12">
        <f>J635*0.97</f>
        <v>1.9303</v>
      </c>
      <c r="L635" s="23">
        <v>500</v>
      </c>
      <c r="M635" s="22">
        <f aca="true" t="shared" si="31" ref="M635:M644">K635/L635*1000</f>
        <v>3.8606</v>
      </c>
      <c r="N635" s="567"/>
      <c r="O635" s="88" t="s">
        <v>1868</v>
      </c>
    </row>
    <row r="636" spans="2:15" ht="12.75">
      <c r="B636" s="195">
        <v>1.3</v>
      </c>
      <c r="C636" s="195">
        <v>3.3</v>
      </c>
      <c r="D636" s="195">
        <v>0.2</v>
      </c>
      <c r="F636" s="198">
        <v>102</v>
      </c>
      <c r="G636" s="195">
        <f>B636/F636*1000</f>
        <v>12.745098039215685</v>
      </c>
      <c r="I636" s="97" t="s">
        <v>339</v>
      </c>
      <c r="J636" s="61"/>
      <c r="K636" s="98">
        <v>1.09</v>
      </c>
      <c r="L636" s="20">
        <v>500</v>
      </c>
      <c r="M636" s="41">
        <f>K636/L636*1000</f>
        <v>2.18</v>
      </c>
      <c r="N636" s="567"/>
      <c r="O636" s="88" t="s">
        <v>537</v>
      </c>
    </row>
    <row r="637" spans="9:15" ht="12.75">
      <c r="I637" s="43" t="s">
        <v>1971</v>
      </c>
      <c r="J637" s="46"/>
      <c r="K637" s="914">
        <v>0.99</v>
      </c>
      <c r="L637" s="1070">
        <v>450</v>
      </c>
      <c r="M637" s="44">
        <f>K637/L637*1000</f>
        <v>2.2</v>
      </c>
      <c r="N637" s="567"/>
      <c r="O637" s="51" t="s">
        <v>537</v>
      </c>
    </row>
    <row r="638" spans="9:15" ht="12.75">
      <c r="I638" s="37" t="s">
        <v>1971</v>
      </c>
      <c r="J638" s="38"/>
      <c r="K638" s="53">
        <v>1.09</v>
      </c>
      <c r="L638" s="1011">
        <v>450</v>
      </c>
      <c r="M638" s="25">
        <f>K638/L638*1000</f>
        <v>2.4222222222222225</v>
      </c>
      <c r="N638" s="567"/>
      <c r="O638" s="88" t="s">
        <v>433</v>
      </c>
    </row>
    <row r="639" spans="2:15" ht="12.75">
      <c r="B639" s="195">
        <v>1.3</v>
      </c>
      <c r="C639" s="195">
        <v>3.3</v>
      </c>
      <c r="D639" s="195">
        <v>0.2</v>
      </c>
      <c r="F639" s="198">
        <v>102</v>
      </c>
      <c r="G639" s="195">
        <f>B639/F639*1000</f>
        <v>12.745098039215685</v>
      </c>
      <c r="I639" s="109" t="s">
        <v>1187</v>
      </c>
      <c r="J639" s="120"/>
      <c r="K639" s="12">
        <v>1.09</v>
      </c>
      <c r="L639" s="23">
        <v>500</v>
      </c>
      <c r="M639" s="22">
        <f t="shared" si="31"/>
        <v>2.18</v>
      </c>
      <c r="N639" s="567"/>
      <c r="O639" s="88" t="s">
        <v>1145</v>
      </c>
    </row>
    <row r="640" spans="9:15" ht="12.75">
      <c r="I640" s="109" t="s">
        <v>1187</v>
      </c>
      <c r="J640" s="120"/>
      <c r="K640" s="12">
        <v>0.99</v>
      </c>
      <c r="L640" s="23">
        <v>500</v>
      </c>
      <c r="M640" s="22">
        <f t="shared" si="31"/>
        <v>1.98</v>
      </c>
      <c r="N640" s="567"/>
      <c r="O640" s="88" t="s">
        <v>2670</v>
      </c>
    </row>
    <row r="641" spans="9:15" ht="12.75">
      <c r="I641" s="43" t="s">
        <v>619</v>
      </c>
      <c r="J641" s="46"/>
      <c r="K641" s="914">
        <f>1.49*0.75</f>
        <v>1.1175</v>
      </c>
      <c r="L641" s="45">
        <v>500</v>
      </c>
      <c r="M641" s="44">
        <f t="shared" si="31"/>
        <v>2.235</v>
      </c>
      <c r="N641" s="913" t="s">
        <v>2698</v>
      </c>
      <c r="O641" s="88" t="s">
        <v>942</v>
      </c>
    </row>
    <row r="642" spans="9:15" ht="12.75">
      <c r="I642" s="43" t="s">
        <v>619</v>
      </c>
      <c r="J642" s="46"/>
      <c r="K642" s="914">
        <v>1.49</v>
      </c>
      <c r="L642" s="45">
        <v>500</v>
      </c>
      <c r="M642" s="44">
        <f t="shared" si="31"/>
        <v>2.98</v>
      </c>
      <c r="N642" s="567"/>
      <c r="O642" s="88" t="s">
        <v>942</v>
      </c>
    </row>
    <row r="643" spans="2:15" ht="12.75">
      <c r="B643" s="195">
        <v>2</v>
      </c>
      <c r="C643" s="195">
        <v>2</v>
      </c>
      <c r="D643" s="195">
        <v>0.3</v>
      </c>
      <c r="F643" s="198">
        <v>79</v>
      </c>
      <c r="G643" s="195">
        <f>B643/F643*1000</f>
        <v>25.31645569620253</v>
      </c>
      <c r="I643" s="43" t="s">
        <v>1391</v>
      </c>
      <c r="J643" s="46" t="s">
        <v>1797</v>
      </c>
      <c r="K643" s="914">
        <v>1.27</v>
      </c>
      <c r="L643" s="45">
        <v>500</v>
      </c>
      <c r="M643" s="44">
        <f t="shared" si="31"/>
        <v>2.54</v>
      </c>
      <c r="N643" s="70"/>
      <c r="O643" s="88" t="s">
        <v>644</v>
      </c>
    </row>
    <row r="644" spans="9:15" ht="12.75">
      <c r="I644" s="6" t="s">
        <v>2976</v>
      </c>
      <c r="J644" s="46"/>
      <c r="K644" s="73">
        <v>0.59</v>
      </c>
      <c r="L644" s="7">
        <v>425</v>
      </c>
      <c r="M644" s="16">
        <f t="shared" si="31"/>
        <v>1.388235294117647</v>
      </c>
      <c r="N644" s="70"/>
      <c r="O644" s="88" t="s">
        <v>2168</v>
      </c>
    </row>
    <row r="645" spans="9:15" ht="12.75">
      <c r="I645" s="6" t="s">
        <v>2326</v>
      </c>
      <c r="J645" s="46"/>
      <c r="K645" s="73" t="s">
        <v>2327</v>
      </c>
      <c r="L645" s="45"/>
      <c r="M645" s="44"/>
      <c r="N645" s="70"/>
      <c r="O645" s="88" t="s">
        <v>1792</v>
      </c>
    </row>
    <row r="646" spans="9:15" ht="12.75">
      <c r="I646" s="277" t="s">
        <v>2466</v>
      </c>
      <c r="J646" s="46"/>
      <c r="K646" s="643" t="s">
        <v>729</v>
      </c>
      <c r="L646" s="45"/>
      <c r="M646" s="44"/>
      <c r="N646" s="70"/>
      <c r="O646" s="88"/>
    </row>
    <row r="647" spans="9:15" ht="12.75">
      <c r="I647" s="43"/>
      <c r="J647" s="46"/>
      <c r="K647" s="914"/>
      <c r="L647" s="45"/>
      <c r="M647" s="44"/>
      <c r="N647" s="70"/>
      <c r="O647" s="88"/>
    </row>
    <row r="648" spans="9:13" ht="12.75">
      <c r="I648" s="6"/>
      <c r="J648" s="55"/>
      <c r="K648" s="73"/>
      <c r="L648" s="7"/>
      <c r="M648" s="16"/>
    </row>
    <row r="649" spans="9:13" ht="12.75">
      <c r="I649" s="6"/>
      <c r="J649" s="55"/>
      <c r="K649" s="73"/>
      <c r="L649" s="7"/>
      <c r="M649" s="16"/>
    </row>
    <row r="650" spans="9:13" ht="15.75">
      <c r="I650" s="178" t="s">
        <v>2356</v>
      </c>
      <c r="J650" s="55"/>
      <c r="K650" s="73"/>
      <c r="L650" s="7"/>
      <c r="M650" s="16"/>
    </row>
    <row r="651" spans="2:15" ht="12.75">
      <c r="B651" s="195">
        <v>12</v>
      </c>
      <c r="C651" s="195">
        <v>45</v>
      </c>
      <c r="D651" s="359">
        <v>15</v>
      </c>
      <c r="F651" s="198">
        <v>1669</v>
      </c>
      <c r="G651" s="195">
        <f>B651/F651*1000</f>
        <v>7.18993409227082</v>
      </c>
      <c r="H651" s="1212">
        <f>M651/F651*100000</f>
        <v>895.7459556620731</v>
      </c>
      <c r="I651" s="97" t="s">
        <v>1034</v>
      </c>
      <c r="J651" s="162"/>
      <c r="K651" s="98">
        <v>2.99</v>
      </c>
      <c r="L651" s="42">
        <v>200</v>
      </c>
      <c r="M651" s="41">
        <f>K651/L651*1000</f>
        <v>14.950000000000001</v>
      </c>
      <c r="N651" s="131"/>
      <c r="O651" s="51" t="s">
        <v>2778</v>
      </c>
    </row>
    <row r="652" spans="8:15" ht="12.75">
      <c r="H652" s="1212"/>
      <c r="I652" s="97" t="s">
        <v>1054</v>
      </c>
      <c r="J652" s="162"/>
      <c r="K652" s="73"/>
      <c r="L652" s="7"/>
      <c r="M652" s="41">
        <v>28</v>
      </c>
      <c r="N652" s="131"/>
      <c r="O652" s="88" t="s">
        <v>2610</v>
      </c>
    </row>
    <row r="653" spans="2:15" ht="12.75">
      <c r="B653" s="195">
        <v>6</v>
      </c>
      <c r="C653" s="195">
        <v>40</v>
      </c>
      <c r="D653" s="195">
        <v>44</v>
      </c>
      <c r="F653" s="198">
        <v>2450</v>
      </c>
      <c r="G653" s="195">
        <f>B653/F653*1000</f>
        <v>2.4489795918367347</v>
      </c>
      <c r="H653" s="1212">
        <f>M653/F653*100000</f>
        <v>545.3061224489796</v>
      </c>
      <c r="I653" s="277" t="s">
        <v>1292</v>
      </c>
      <c r="J653" s="162"/>
      <c r="K653" s="111">
        <v>6.68</v>
      </c>
      <c r="L653" s="30">
        <v>500</v>
      </c>
      <c r="M653" s="29">
        <f>K653/L653*1000</f>
        <v>13.36</v>
      </c>
      <c r="N653" s="26" t="s">
        <v>2306</v>
      </c>
      <c r="O653" s="88" t="s">
        <v>1030</v>
      </c>
    </row>
    <row r="654" spans="2:15" ht="12.75">
      <c r="B654" s="195">
        <v>6</v>
      </c>
      <c r="C654" s="195">
        <v>42</v>
      </c>
      <c r="D654" s="195">
        <v>44</v>
      </c>
      <c r="F654" s="198">
        <v>2487</v>
      </c>
      <c r="G654" s="195">
        <f>B654/F654*1000</f>
        <v>2.4125452352231602</v>
      </c>
      <c r="H654" s="1212">
        <f>M654/F654*100000</f>
        <v>221.1499798954564</v>
      </c>
      <c r="I654" s="15" t="s">
        <v>2717</v>
      </c>
      <c r="J654" s="162"/>
      <c r="K654" s="73">
        <v>2.2</v>
      </c>
      <c r="L654" s="7">
        <v>400</v>
      </c>
      <c r="M654" s="16">
        <f aca="true" t="shared" si="32" ref="M654:M662">K654/L654*1000</f>
        <v>5.500000000000001</v>
      </c>
      <c r="N654" s="131"/>
      <c r="O654" s="88" t="s">
        <v>2935</v>
      </c>
    </row>
    <row r="655" spans="9:15" ht="12.75">
      <c r="I655" s="86" t="s">
        <v>2718</v>
      </c>
      <c r="J655" s="38"/>
      <c r="K655" s="53">
        <v>1.99</v>
      </c>
      <c r="L655" s="26">
        <v>200</v>
      </c>
      <c r="M655" s="25">
        <f t="shared" si="32"/>
        <v>9.950000000000001</v>
      </c>
      <c r="N655" s="131"/>
      <c r="O655" s="51" t="s">
        <v>2935</v>
      </c>
    </row>
    <row r="656" spans="2:16" ht="12.75">
      <c r="B656" s="195">
        <v>6</v>
      </c>
      <c r="C656" s="195">
        <v>40</v>
      </c>
      <c r="D656" s="195">
        <v>44</v>
      </c>
      <c r="F656" s="198">
        <v>2446</v>
      </c>
      <c r="G656" s="195">
        <f>B656/F656*1000</f>
        <v>2.4529844644317254</v>
      </c>
      <c r="H656" s="1212">
        <f>M656/F656*100000</f>
        <v>378.84982284001086</v>
      </c>
      <c r="I656" s="86" t="s">
        <v>1773</v>
      </c>
      <c r="J656" s="162"/>
      <c r="K656" s="73">
        <v>1.39</v>
      </c>
      <c r="L656" s="7">
        <v>150</v>
      </c>
      <c r="M656" s="25">
        <f t="shared" si="32"/>
        <v>9.266666666666666</v>
      </c>
      <c r="N656" s="131"/>
      <c r="O656" s="88" t="s">
        <v>2066</v>
      </c>
      <c r="P656" s="99" t="s">
        <v>1774</v>
      </c>
    </row>
    <row r="657" spans="9:15" ht="12.75">
      <c r="I657" s="15" t="s">
        <v>1772</v>
      </c>
      <c r="J657" s="55"/>
      <c r="K657" s="127">
        <v>12.9</v>
      </c>
      <c r="L657" s="128">
        <v>2500</v>
      </c>
      <c r="M657" s="129">
        <f>K657/L657*1000</f>
        <v>5.16</v>
      </c>
      <c r="N657" s="131"/>
      <c r="O657" s="88" t="s">
        <v>706</v>
      </c>
    </row>
    <row r="658" spans="9:15" ht="12.75">
      <c r="I658" s="6" t="s">
        <v>1772</v>
      </c>
      <c r="J658" s="55"/>
      <c r="K658" s="73">
        <v>2.49</v>
      </c>
      <c r="L658" s="7">
        <v>400</v>
      </c>
      <c r="M658" s="16">
        <f>K658/L658*1000</f>
        <v>6.2250000000000005</v>
      </c>
      <c r="N658" s="131"/>
      <c r="O658" s="51" t="s">
        <v>848</v>
      </c>
    </row>
    <row r="659" spans="9:15" ht="12.75">
      <c r="I659" s="15" t="s">
        <v>1772</v>
      </c>
      <c r="J659" s="55"/>
      <c r="K659" s="73">
        <v>12.9</v>
      </c>
      <c r="L659" s="7">
        <v>2500</v>
      </c>
      <c r="M659" s="16">
        <f>K659/L659*1000</f>
        <v>5.16</v>
      </c>
      <c r="N659" s="131"/>
      <c r="O659" s="88" t="s">
        <v>848</v>
      </c>
    </row>
    <row r="660" spans="9:15" ht="12.75">
      <c r="I660" s="71" t="s">
        <v>1772</v>
      </c>
      <c r="J660" s="96"/>
      <c r="K660" s="111">
        <v>9.9</v>
      </c>
      <c r="L660" s="30">
        <v>2500</v>
      </c>
      <c r="M660" s="29">
        <f t="shared" si="32"/>
        <v>3.96</v>
      </c>
      <c r="N660" s="131" t="s">
        <v>3107</v>
      </c>
      <c r="O660" s="345" t="s">
        <v>2935</v>
      </c>
    </row>
    <row r="661" spans="9:15" ht="12.75">
      <c r="I661" s="109" t="s">
        <v>1538</v>
      </c>
      <c r="J661" s="120"/>
      <c r="K661" s="12">
        <v>9.5</v>
      </c>
      <c r="L661" s="23">
        <v>2500</v>
      </c>
      <c r="M661" s="22">
        <f t="shared" si="32"/>
        <v>3.8</v>
      </c>
      <c r="N661" s="423"/>
      <c r="O661" s="101" t="s">
        <v>2170</v>
      </c>
    </row>
    <row r="662" spans="9:15" ht="12.75">
      <c r="I662" s="21" t="s">
        <v>1538</v>
      </c>
      <c r="J662" s="120"/>
      <c r="K662" s="12">
        <v>1.69</v>
      </c>
      <c r="L662" s="23">
        <v>400</v>
      </c>
      <c r="M662" s="22">
        <f t="shared" si="32"/>
        <v>4.225</v>
      </c>
      <c r="N662" s="423"/>
      <c r="O662" s="101" t="s">
        <v>2350</v>
      </c>
    </row>
    <row r="663" spans="9:15" ht="12.75">
      <c r="I663" s="6" t="s">
        <v>467</v>
      </c>
      <c r="J663" s="55"/>
      <c r="K663" s="73">
        <v>1.29</v>
      </c>
      <c r="L663" s="7">
        <v>150</v>
      </c>
      <c r="M663" s="16">
        <f aca="true" t="shared" si="33" ref="M663:M671">K663/L663*1000</f>
        <v>8.6</v>
      </c>
      <c r="O663" s="88" t="s">
        <v>1088</v>
      </c>
    </row>
    <row r="664" spans="9:15" ht="12.75">
      <c r="I664" s="123" t="s">
        <v>769</v>
      </c>
      <c r="J664" s="162"/>
      <c r="K664" s="191">
        <v>0.89</v>
      </c>
      <c r="L664" s="149">
        <v>450</v>
      </c>
      <c r="M664" s="148">
        <f t="shared" si="33"/>
        <v>1.9777777777777779</v>
      </c>
      <c r="N664" s="131"/>
      <c r="O664" s="88" t="s">
        <v>1088</v>
      </c>
    </row>
    <row r="665" spans="9:15" ht="12.75">
      <c r="I665" s="123" t="s">
        <v>769</v>
      </c>
      <c r="J665" s="162"/>
      <c r="K665" s="191">
        <v>2.2</v>
      </c>
      <c r="L665" s="149">
        <v>450</v>
      </c>
      <c r="M665" s="148">
        <f t="shared" si="33"/>
        <v>4.888888888888889</v>
      </c>
      <c r="N665" s="131"/>
      <c r="O665" s="88" t="s">
        <v>2099</v>
      </c>
    </row>
    <row r="666" spans="9:15" ht="12.75">
      <c r="I666" s="123" t="s">
        <v>769</v>
      </c>
      <c r="J666" s="162"/>
      <c r="K666" s="191">
        <v>1.99</v>
      </c>
      <c r="L666" s="149">
        <v>400</v>
      </c>
      <c r="M666" s="148">
        <f t="shared" si="33"/>
        <v>4.9750000000000005</v>
      </c>
      <c r="N666" s="131"/>
      <c r="O666" s="88" t="s">
        <v>144</v>
      </c>
    </row>
    <row r="667" spans="9:15" ht="12.75">
      <c r="I667" s="123" t="s">
        <v>769</v>
      </c>
      <c r="J667" s="162"/>
      <c r="K667" s="191">
        <v>2.2</v>
      </c>
      <c r="L667" s="149">
        <v>400</v>
      </c>
      <c r="M667" s="148">
        <f>K667/L667*1000</f>
        <v>5.500000000000001</v>
      </c>
      <c r="N667" s="131"/>
      <c r="O667" s="88" t="s">
        <v>1959</v>
      </c>
    </row>
    <row r="668" spans="2:15" ht="12.75">
      <c r="B668" s="195">
        <v>6</v>
      </c>
      <c r="C668" s="195">
        <v>40</v>
      </c>
      <c r="D668" s="195">
        <v>44</v>
      </c>
      <c r="F668" s="198">
        <v>2590</v>
      </c>
      <c r="G668" s="195">
        <f>B668/F668*1000</f>
        <v>2.3166023166023164</v>
      </c>
      <c r="H668" s="1212">
        <f>M668/F668*100000</f>
        <v>231.66023166023166</v>
      </c>
      <c r="I668" s="388" t="s">
        <v>670</v>
      </c>
      <c r="J668" s="55"/>
      <c r="K668" s="73">
        <v>2.4</v>
      </c>
      <c r="L668" s="7">
        <v>400</v>
      </c>
      <c r="M668" s="16">
        <f>K668/L668*1000</f>
        <v>6</v>
      </c>
      <c r="N668" s="131"/>
      <c r="O668" s="88" t="s">
        <v>2646</v>
      </c>
    </row>
    <row r="669" spans="9:15" ht="12.75">
      <c r="I669" s="15" t="s">
        <v>2686</v>
      </c>
      <c r="J669" s="55"/>
      <c r="K669" s="73">
        <v>1.99</v>
      </c>
      <c r="L669" s="7">
        <v>500</v>
      </c>
      <c r="M669" s="16">
        <f>K669/L669*1000</f>
        <v>3.98</v>
      </c>
      <c r="N669" s="131"/>
      <c r="O669" s="88" t="s">
        <v>551</v>
      </c>
    </row>
    <row r="670" spans="9:15" ht="12.75">
      <c r="I670" s="6" t="s">
        <v>2769</v>
      </c>
      <c r="J670" s="55"/>
      <c r="K670" s="73">
        <v>1.1</v>
      </c>
      <c r="L670" s="7">
        <v>200</v>
      </c>
      <c r="M670" s="16">
        <f t="shared" si="33"/>
        <v>5.500000000000001</v>
      </c>
      <c r="N670" s="131"/>
      <c r="O670" s="88" t="s">
        <v>2646</v>
      </c>
    </row>
    <row r="671" spans="2:15" ht="12.75">
      <c r="B671" s="195">
        <v>11.6</v>
      </c>
      <c r="C671" s="195">
        <v>43.2</v>
      </c>
      <c r="D671" s="195">
        <v>17.3</v>
      </c>
      <c r="F671" s="198">
        <v>1597</v>
      </c>
      <c r="G671" s="195">
        <f>B671/F671*1000</f>
        <v>7.2636192861615525</v>
      </c>
      <c r="H671" s="1212">
        <f>M671/F671*100000</f>
        <v>1167.5537466082237</v>
      </c>
      <c r="I671" s="37" t="s">
        <v>2024</v>
      </c>
      <c r="J671" s="55"/>
      <c r="K671" s="73">
        <v>1.79</v>
      </c>
      <c r="L671" s="7">
        <v>96</v>
      </c>
      <c r="M671" s="16">
        <f t="shared" si="33"/>
        <v>18.645833333333332</v>
      </c>
      <c r="N671" s="131"/>
      <c r="O671" s="88" t="s">
        <v>2646</v>
      </c>
    </row>
    <row r="672" spans="9:15" ht="12.75">
      <c r="I672" s="6"/>
      <c r="J672" s="55"/>
      <c r="K672" s="73"/>
      <c r="L672" s="7"/>
      <c r="M672" s="16"/>
      <c r="O672" s="88"/>
    </row>
    <row r="673" spans="9:13" ht="12.75">
      <c r="I673" s="37"/>
      <c r="J673" s="55"/>
      <c r="K673" s="73"/>
      <c r="L673" s="7"/>
      <c r="M673" s="16"/>
    </row>
    <row r="674" spans="9:15" ht="15.75">
      <c r="I674" s="91" t="s">
        <v>1309</v>
      </c>
      <c r="J674" s="55"/>
      <c r="K674" s="73"/>
      <c r="L674" s="7"/>
      <c r="M674" s="16"/>
      <c r="O674" s="88"/>
    </row>
    <row r="675" spans="9:15" ht="12.75">
      <c r="I675" s="2" t="s">
        <v>2851</v>
      </c>
      <c r="J675" s="55"/>
      <c r="K675" s="95">
        <v>1.69</v>
      </c>
      <c r="L675" s="108">
        <v>2</v>
      </c>
      <c r="M675" s="32">
        <f>K675/L675</f>
        <v>0.845</v>
      </c>
      <c r="N675" s="7"/>
      <c r="O675" s="88" t="s">
        <v>289</v>
      </c>
    </row>
    <row r="676" spans="9:15" ht="12.75">
      <c r="I676" s="86" t="s">
        <v>1187</v>
      </c>
      <c r="J676" s="192"/>
      <c r="K676" s="681"/>
      <c r="L676" s="682" t="s">
        <v>2571</v>
      </c>
      <c r="M676" s="490">
        <v>1.29</v>
      </c>
      <c r="N676" s="145"/>
      <c r="O676" s="88" t="s">
        <v>289</v>
      </c>
    </row>
    <row r="677" spans="9:15" ht="12.75">
      <c r="I677" s="17" t="s">
        <v>1153</v>
      </c>
      <c r="J677" s="160"/>
      <c r="K677" s="181"/>
      <c r="L677" s="210" t="s">
        <v>2571</v>
      </c>
      <c r="M677" s="32">
        <v>0.99</v>
      </c>
      <c r="N677" s="7"/>
      <c r="O677" s="88" t="s">
        <v>1038</v>
      </c>
    </row>
    <row r="678" spans="2:15" ht="12.75">
      <c r="B678" s="195">
        <v>3.3</v>
      </c>
      <c r="C678" s="195">
        <v>15.7</v>
      </c>
      <c r="D678" s="195">
        <v>1.2</v>
      </c>
      <c r="F678" s="198">
        <v>374</v>
      </c>
      <c r="G678" s="195">
        <f>B678/F678*1000</f>
        <v>8.823529411764707</v>
      </c>
      <c r="H678" s="1212">
        <f>M678/F678*100000</f>
        <v>239.3048128342246</v>
      </c>
      <c r="I678" s="17" t="s">
        <v>1635</v>
      </c>
      <c r="J678" s="160"/>
      <c r="K678" s="18">
        <v>1.79</v>
      </c>
      <c r="L678" s="210">
        <v>2</v>
      </c>
      <c r="M678" s="5">
        <f>K678/L678</f>
        <v>0.895</v>
      </c>
      <c r="N678" s="7"/>
      <c r="O678" s="88" t="s">
        <v>2131</v>
      </c>
    </row>
    <row r="679" spans="9:15" ht="12.75">
      <c r="I679" s="17"/>
      <c r="J679" s="160"/>
      <c r="K679" s="18"/>
      <c r="L679" s="210"/>
      <c r="M679" s="5"/>
      <c r="N679" s="7"/>
      <c r="O679" s="88"/>
    </row>
    <row r="680" spans="9:15" ht="12.75">
      <c r="I680" s="31"/>
      <c r="J680" s="55"/>
      <c r="K680" s="95"/>
      <c r="L680" s="33"/>
      <c r="M680" s="32"/>
      <c r="N680" s="7"/>
      <c r="O680" s="88"/>
    </row>
    <row r="681" spans="9:15" ht="15.75">
      <c r="I681" s="91" t="s">
        <v>2968</v>
      </c>
      <c r="J681" s="55"/>
      <c r="K681" s="73"/>
      <c r="L681" t="s">
        <v>1107</v>
      </c>
      <c r="M681" s="16"/>
      <c r="O681" s="88"/>
    </row>
    <row r="682" spans="2:15" ht="12.75">
      <c r="B682" s="195">
        <v>2.4</v>
      </c>
      <c r="C682" s="195">
        <v>13</v>
      </c>
      <c r="D682" s="195">
        <v>1.6</v>
      </c>
      <c r="F682" s="198">
        <v>335</v>
      </c>
      <c r="G682" s="195">
        <f>B682/F682*1000</f>
        <v>7.164179104477612</v>
      </c>
      <c r="H682" s="1212">
        <f>M682/F682*100000</f>
        <v>1277.821419219691</v>
      </c>
      <c r="I682" s="97" t="s">
        <v>3141</v>
      </c>
      <c r="J682" s="160"/>
      <c r="K682" s="41">
        <v>1.22</v>
      </c>
      <c r="L682" s="1493">
        <v>285</v>
      </c>
      <c r="M682" s="276">
        <f aca="true" t="shared" si="34" ref="M682:M687">K682/L682*1000</f>
        <v>4.280701754385965</v>
      </c>
      <c r="N682" s="7"/>
      <c r="O682" s="125" t="s">
        <v>3140</v>
      </c>
    </row>
    <row r="683" spans="8:15" ht="12.75">
      <c r="H683" s="1212" t="e">
        <f>M683/F683*100000</f>
        <v>#DIV/0!</v>
      </c>
      <c r="I683" s="40" t="s">
        <v>3139</v>
      </c>
      <c r="J683" s="160"/>
      <c r="K683" s="41">
        <v>1.35</v>
      </c>
      <c r="L683" s="443">
        <v>230</v>
      </c>
      <c r="M683" s="41">
        <f t="shared" si="34"/>
        <v>5.869565217391305</v>
      </c>
      <c r="N683" s="7"/>
      <c r="O683" s="125" t="s">
        <v>3140</v>
      </c>
    </row>
    <row r="684" spans="2:15" ht="12.75">
      <c r="B684" s="195">
        <v>2.9</v>
      </c>
      <c r="C684" s="195">
        <v>12</v>
      </c>
      <c r="D684" s="195">
        <v>2.4</v>
      </c>
      <c r="F684" s="198">
        <v>377</v>
      </c>
      <c r="G684" s="195">
        <f>B684/F684*1000</f>
        <v>7.692307692307692</v>
      </c>
      <c r="H684" s="1212">
        <f>M684/F684*100000</f>
        <v>693.3780073525991</v>
      </c>
      <c r="I684" s="15" t="s">
        <v>1617</v>
      </c>
      <c r="J684" s="55"/>
      <c r="K684" s="127">
        <v>1.49</v>
      </c>
      <c r="L684" s="128">
        <v>570</v>
      </c>
      <c r="M684" s="129">
        <f t="shared" si="34"/>
        <v>2.6140350877192984</v>
      </c>
      <c r="N684" s="7"/>
      <c r="O684" s="125" t="s">
        <v>2778</v>
      </c>
    </row>
    <row r="685" spans="8:15" ht="12.75">
      <c r="H685" s="1212"/>
      <c r="I685" s="15" t="s">
        <v>1029</v>
      </c>
      <c r="J685" s="55"/>
      <c r="K685" s="127">
        <v>0.59</v>
      </c>
      <c r="L685" s="128">
        <v>285</v>
      </c>
      <c r="M685" s="129">
        <f t="shared" si="34"/>
        <v>2.070175438596491</v>
      </c>
      <c r="N685" s="7"/>
      <c r="O685" s="125" t="s">
        <v>1030</v>
      </c>
    </row>
    <row r="686" spans="8:15" ht="12.75">
      <c r="H686" s="1212" t="e">
        <f>M686/F686*100000</f>
        <v>#DIV/0!</v>
      </c>
      <c r="I686" s="97" t="s">
        <v>853</v>
      </c>
      <c r="J686" s="160"/>
      <c r="K686" s="1490">
        <v>1.29</v>
      </c>
      <c r="L686" s="1491">
        <v>283</v>
      </c>
      <c r="M686" s="1492">
        <f t="shared" si="34"/>
        <v>4.5583038869257955</v>
      </c>
      <c r="N686" s="440" t="s">
        <v>1797</v>
      </c>
      <c r="O686" s="125" t="s">
        <v>2634</v>
      </c>
    </row>
    <row r="687" spans="2:15" ht="12.75">
      <c r="B687" s="195">
        <v>3.3</v>
      </c>
      <c r="C687" s="195">
        <v>16</v>
      </c>
      <c r="D687" s="195">
        <v>1.2</v>
      </c>
      <c r="F687" s="198">
        <v>373</v>
      </c>
      <c r="G687" s="195">
        <f>B687/F687*1000</f>
        <v>8.847184986595174</v>
      </c>
      <c r="H687" s="1212">
        <f>M687/F687*100000</f>
        <v>1815.744577138679</v>
      </c>
      <c r="I687" s="97" t="s">
        <v>2325</v>
      </c>
      <c r="J687" s="160"/>
      <c r="K687" s="41">
        <v>1.49</v>
      </c>
      <c r="L687" s="443">
        <v>220</v>
      </c>
      <c r="M687" s="41">
        <f t="shared" si="34"/>
        <v>6.7727272727272725</v>
      </c>
      <c r="N687" s="7"/>
      <c r="O687" s="125" t="s">
        <v>1431</v>
      </c>
    </row>
    <row r="688" spans="2:15" ht="12.75">
      <c r="B688" s="195">
        <v>3.3</v>
      </c>
      <c r="C688" s="195">
        <v>15.7</v>
      </c>
      <c r="D688" s="195">
        <v>0.2</v>
      </c>
      <c r="F688" s="198">
        <v>392</v>
      </c>
      <c r="G688" s="195">
        <f>B688/F688*1000</f>
        <v>8.418367346938776</v>
      </c>
      <c r="H688" s="1212">
        <f>M688/F688*100000</f>
        <v>1611.78107606679</v>
      </c>
      <c r="I688" s="109" t="s">
        <v>2453</v>
      </c>
      <c r="J688" s="120"/>
      <c r="K688" s="22">
        <v>1.39</v>
      </c>
      <c r="L688" s="423">
        <v>220</v>
      </c>
      <c r="M688" s="22">
        <f aca="true" t="shared" si="35" ref="M688:M701">K688/L688*1000</f>
        <v>6.3181818181818175</v>
      </c>
      <c r="N688" s="7"/>
      <c r="O688" s="125" t="s">
        <v>2054</v>
      </c>
    </row>
    <row r="689" spans="9:15" ht="15">
      <c r="I689" s="31" t="s">
        <v>1780</v>
      </c>
      <c r="J689" s="66"/>
      <c r="K689" s="95">
        <v>1.79</v>
      </c>
      <c r="L689" s="33">
        <v>230</v>
      </c>
      <c r="M689" s="32">
        <f t="shared" si="35"/>
        <v>7.782608695652174</v>
      </c>
      <c r="O689" s="88" t="s">
        <v>1959</v>
      </c>
    </row>
    <row r="690" spans="2:15" ht="12.75">
      <c r="B690" s="195">
        <v>3</v>
      </c>
      <c r="C690" s="195">
        <v>10</v>
      </c>
      <c r="D690" s="195">
        <v>2</v>
      </c>
      <c r="F690" s="198">
        <v>274</v>
      </c>
      <c r="G690" s="195">
        <f>B690/F690*1000</f>
        <v>10.948905109489052</v>
      </c>
      <c r="H690" s="1212">
        <f>M690/F690*100000</f>
        <v>2637.690776376908</v>
      </c>
      <c r="I690" s="43" t="s">
        <v>2621</v>
      </c>
      <c r="J690" s="66"/>
      <c r="K690" s="95">
        <v>1.59</v>
      </c>
      <c r="L690" s="33">
        <v>220</v>
      </c>
      <c r="M690" s="32">
        <f>K690/L690*1000</f>
        <v>7.227272727272728</v>
      </c>
      <c r="O690" s="88" t="s">
        <v>1959</v>
      </c>
    </row>
    <row r="691" spans="2:15" ht="12.75">
      <c r="B691" s="195">
        <v>3.1</v>
      </c>
      <c r="C691" s="195">
        <v>12.6</v>
      </c>
      <c r="D691" s="195">
        <v>1.2</v>
      </c>
      <c r="F691" s="198">
        <v>311</v>
      </c>
      <c r="G691" s="195">
        <f>B691/F691*1000</f>
        <v>9.967845659163986</v>
      </c>
      <c r="H691" s="1212">
        <f>M691/F691*100000</f>
        <v>2194.883265762617</v>
      </c>
      <c r="I691" s="1482" t="s">
        <v>2523</v>
      </c>
      <c r="J691" s="1483"/>
      <c r="K691" s="1484">
        <v>1.57</v>
      </c>
      <c r="L691" s="1474">
        <v>230</v>
      </c>
      <c r="M691" s="1473">
        <f>K691/L691*1000</f>
        <v>6.82608695652174</v>
      </c>
      <c r="O691" s="88" t="s">
        <v>1246</v>
      </c>
    </row>
    <row r="692" spans="2:15" ht="12.75">
      <c r="B692" s="195">
        <v>3.1</v>
      </c>
      <c r="C692" s="195">
        <v>12.6</v>
      </c>
      <c r="D692" s="195">
        <v>1.2</v>
      </c>
      <c r="F692" s="198">
        <v>311</v>
      </c>
      <c r="G692" s="195">
        <f>B692/F692*1000</f>
        <v>9.967845659163986</v>
      </c>
      <c r="H692" s="1212">
        <f>M692/F692*100000</f>
        <v>1915.280301971201</v>
      </c>
      <c r="I692" s="1472" t="s">
        <v>2523</v>
      </c>
      <c r="J692" s="1483"/>
      <c r="K692" s="1484">
        <v>1.37</v>
      </c>
      <c r="L692" s="1474">
        <v>230</v>
      </c>
      <c r="M692" s="1473">
        <f t="shared" si="35"/>
        <v>5.956521739130435</v>
      </c>
      <c r="O692" s="88" t="s">
        <v>2613</v>
      </c>
    </row>
    <row r="693" spans="9:15" ht="15">
      <c r="I693" s="31" t="s">
        <v>2082</v>
      </c>
      <c r="J693" s="66"/>
      <c r="K693" s="95">
        <v>2.69</v>
      </c>
      <c r="L693" s="33">
        <v>230</v>
      </c>
      <c r="M693" s="32">
        <f t="shared" si="35"/>
        <v>11.695652173913043</v>
      </c>
      <c r="O693" s="88" t="s">
        <v>3100</v>
      </c>
    </row>
    <row r="694" spans="9:15" ht="12.75">
      <c r="I694" s="56" t="s">
        <v>2712</v>
      </c>
      <c r="J694" s="55"/>
      <c r="K694" s="73">
        <v>0.49</v>
      </c>
      <c r="L694" s="7">
        <v>285</v>
      </c>
      <c r="M694" s="16">
        <f t="shared" si="35"/>
        <v>1.719298245614035</v>
      </c>
      <c r="N694" s="20" t="s">
        <v>209</v>
      </c>
      <c r="O694" s="88" t="s">
        <v>1927</v>
      </c>
    </row>
    <row r="695" spans="2:15" ht="12.75">
      <c r="B695" s="195">
        <v>2.5</v>
      </c>
      <c r="C695" s="195">
        <v>11</v>
      </c>
      <c r="D695" s="195">
        <v>1.2</v>
      </c>
      <c r="F695" s="198">
        <v>290</v>
      </c>
      <c r="G695" s="195">
        <f>B695/F695*1000</f>
        <v>8.620689655172413</v>
      </c>
      <c r="H695" s="1212">
        <f>M695/F695*100000</f>
        <v>713.8535995160314</v>
      </c>
      <c r="I695" s="6" t="s">
        <v>134</v>
      </c>
      <c r="J695" s="55"/>
      <c r="K695" s="73">
        <v>0.59</v>
      </c>
      <c r="L695" s="7">
        <v>285</v>
      </c>
      <c r="M695" s="16">
        <f>K695/L695*1000</f>
        <v>2.070175438596491</v>
      </c>
      <c r="N695" s="7"/>
      <c r="O695" s="125" t="s">
        <v>3121</v>
      </c>
    </row>
    <row r="696" spans="2:15" ht="12.75">
      <c r="B696" s="195">
        <v>2.9</v>
      </c>
      <c r="C696" s="195">
        <v>12</v>
      </c>
      <c r="D696" s="195">
        <v>2.4</v>
      </c>
      <c r="F696" s="198">
        <v>377</v>
      </c>
      <c r="G696" s="195">
        <f>B696/F696*1000</f>
        <v>7.692307692307692</v>
      </c>
      <c r="H696" s="1212">
        <f>M696/F696*100000</f>
        <v>1200.6142677649032</v>
      </c>
      <c r="I696" s="97" t="s">
        <v>1955</v>
      </c>
      <c r="J696" s="61"/>
      <c r="K696" s="98">
        <v>1.29</v>
      </c>
      <c r="L696" s="42">
        <v>285</v>
      </c>
      <c r="M696" s="276">
        <f>K696/L696*1000</f>
        <v>4.526315789473685</v>
      </c>
      <c r="N696" s="7"/>
      <c r="O696" s="125" t="s">
        <v>1204</v>
      </c>
    </row>
    <row r="697" spans="2:15" ht="12.75">
      <c r="B697" s="195">
        <v>3</v>
      </c>
      <c r="C697" s="195">
        <v>12</v>
      </c>
      <c r="D697" s="195">
        <v>1.7</v>
      </c>
      <c r="F697" s="198">
        <v>345</v>
      </c>
      <c r="G697" s="195">
        <f>B697/F697*1000</f>
        <v>8.695652173913043</v>
      </c>
      <c r="H697" s="1212">
        <f>M697/F697*100000</f>
        <v>600.0508517670988</v>
      </c>
      <c r="I697" s="15" t="s">
        <v>1954</v>
      </c>
      <c r="J697" s="55"/>
      <c r="K697" s="73">
        <v>0.59</v>
      </c>
      <c r="L697" s="7">
        <v>285</v>
      </c>
      <c r="M697" s="129">
        <f>K697/L697*1000</f>
        <v>2.070175438596491</v>
      </c>
      <c r="N697" s="7"/>
      <c r="O697" s="125" t="s">
        <v>1204</v>
      </c>
    </row>
    <row r="698" spans="8:15" ht="12.75">
      <c r="H698" s="1212"/>
      <c r="I698" s="37" t="s">
        <v>2685</v>
      </c>
      <c r="J698" s="38"/>
      <c r="K698" s="53"/>
      <c r="L698" s="26"/>
      <c r="M698" s="490">
        <v>9.2</v>
      </c>
      <c r="N698" s="7"/>
      <c r="O698" s="51" t="s">
        <v>1769</v>
      </c>
    </row>
    <row r="699" spans="2:15" ht="12.75">
      <c r="B699" s="195">
        <v>3</v>
      </c>
      <c r="C699" s="195">
        <v>12</v>
      </c>
      <c r="D699" s="195">
        <v>1.7</v>
      </c>
      <c r="F699" s="198">
        <v>345</v>
      </c>
      <c r="G699" s="195">
        <f>B699/F699*1000</f>
        <v>8.695652173913043</v>
      </c>
      <c r="H699" s="1212">
        <f>M699/F699*100000</f>
        <v>518.6880244088482</v>
      </c>
      <c r="I699" s="123" t="s">
        <v>135</v>
      </c>
      <c r="J699" s="162"/>
      <c r="K699" s="191">
        <v>0.51</v>
      </c>
      <c r="L699" s="149">
        <v>285</v>
      </c>
      <c r="M699" s="148">
        <f>K699/L699*1000</f>
        <v>1.7894736842105263</v>
      </c>
      <c r="N699" s="7"/>
      <c r="O699" s="125" t="s">
        <v>3121</v>
      </c>
    </row>
    <row r="700" spans="9:15" ht="12.75">
      <c r="I700" s="6" t="s">
        <v>1240</v>
      </c>
      <c r="J700" s="55"/>
      <c r="K700" s="73">
        <v>0.49</v>
      </c>
      <c r="L700" s="7">
        <v>285</v>
      </c>
      <c r="M700" s="16">
        <f t="shared" si="35"/>
        <v>1.719298245614035</v>
      </c>
      <c r="N700" s="7"/>
      <c r="O700" s="88" t="s">
        <v>646</v>
      </c>
    </row>
    <row r="701" spans="9:15" ht="12.75">
      <c r="I701" s="56" t="s">
        <v>1902</v>
      </c>
      <c r="J701" s="55"/>
      <c r="K701" s="73">
        <v>0.49</v>
      </c>
      <c r="L701" s="7">
        <v>285</v>
      </c>
      <c r="M701" s="16">
        <f t="shared" si="35"/>
        <v>1.719298245614035</v>
      </c>
      <c r="N701" s="20" t="s">
        <v>209</v>
      </c>
      <c r="O701" s="88" t="s">
        <v>2371</v>
      </c>
    </row>
    <row r="702" spans="9:15" ht="12.75">
      <c r="I702" s="6"/>
      <c r="J702" s="55"/>
      <c r="K702" s="73"/>
      <c r="L702" s="7"/>
      <c r="M702" s="16"/>
      <c r="N702" s="7"/>
      <c r="O702" s="88"/>
    </row>
    <row r="703" spans="9:15" ht="12.75">
      <c r="I703" s="6"/>
      <c r="J703" s="55"/>
      <c r="K703" s="73"/>
      <c r="L703" s="7"/>
      <c r="M703" s="16"/>
      <c r="N703" s="7"/>
      <c r="O703" s="88"/>
    </row>
    <row r="704" spans="9:15" ht="15.75">
      <c r="I704" s="52" t="s">
        <v>85</v>
      </c>
      <c r="J704" s="55"/>
      <c r="K704" s="73"/>
      <c r="L704" s="7"/>
      <c r="M704" s="16"/>
      <c r="N704" s="7"/>
      <c r="O704" s="88"/>
    </row>
    <row r="705" spans="2:15" s="391" customFormat="1" ht="12.75">
      <c r="B705" s="393">
        <v>41</v>
      </c>
      <c r="C705" s="393">
        <v>28</v>
      </c>
      <c r="D705" s="393">
        <v>0.4</v>
      </c>
      <c r="E705" s="746"/>
      <c r="F705" s="394">
        <v>1200</v>
      </c>
      <c r="G705" s="195">
        <f>B705/F705*1000</f>
        <v>34.166666666666664</v>
      </c>
      <c r="H705" s="1212">
        <f>M705/F705*100000</f>
        <v>4000</v>
      </c>
      <c r="I705" s="1299" t="s">
        <v>3122</v>
      </c>
      <c r="J705" s="379"/>
      <c r="K705" s="573"/>
      <c r="L705" s="349"/>
      <c r="M705" s="1215">
        <v>48</v>
      </c>
      <c r="N705" s="349"/>
      <c r="O705" s="716" t="s">
        <v>3121</v>
      </c>
    </row>
    <row r="706" spans="2:15" s="391" customFormat="1" ht="12.75">
      <c r="B706" s="393"/>
      <c r="C706" s="393"/>
      <c r="D706" s="393"/>
      <c r="E706" s="746"/>
      <c r="F706" s="394"/>
      <c r="G706" s="393"/>
      <c r="H706" s="393"/>
      <c r="I706" s="1299" t="s">
        <v>988</v>
      </c>
      <c r="J706" s="379"/>
      <c r="K706" s="573">
        <v>15.99</v>
      </c>
      <c r="L706" s="349">
        <v>500</v>
      </c>
      <c r="M706" s="35">
        <f>K706/L706*1000</f>
        <v>31.98</v>
      </c>
      <c r="N706" s="349"/>
      <c r="O706" s="716" t="s">
        <v>3121</v>
      </c>
    </row>
    <row r="707" spans="9:15" ht="12.75">
      <c r="I707" s="82" t="s">
        <v>1874</v>
      </c>
      <c r="J707" s="105">
        <v>6.7</v>
      </c>
      <c r="K707" s="126">
        <f>J707*0.97</f>
        <v>6.499</v>
      </c>
      <c r="L707" s="36">
        <v>100</v>
      </c>
      <c r="M707" s="35">
        <f>K707/L707*1000</f>
        <v>64.99</v>
      </c>
      <c r="N707" s="7"/>
      <c r="O707" s="88" t="s">
        <v>2266</v>
      </c>
    </row>
    <row r="708" spans="9:15" ht="12.75">
      <c r="I708" s="6"/>
      <c r="J708" s="55"/>
      <c r="K708" s="73"/>
      <c r="L708" s="7"/>
      <c r="M708" s="16"/>
      <c r="N708" s="7"/>
      <c r="O708" s="88"/>
    </row>
    <row r="709" spans="9:15" ht="15.75">
      <c r="I709" s="52" t="s">
        <v>550</v>
      </c>
      <c r="J709" s="55"/>
      <c r="K709" s="73"/>
      <c r="L709" s="7"/>
      <c r="M709" s="16"/>
      <c r="N709" s="7"/>
      <c r="O709" s="88"/>
    </row>
    <row r="710" spans="9:15" ht="12.75">
      <c r="I710" s="924" t="s">
        <v>1924</v>
      </c>
      <c r="J710" s="920"/>
      <c r="K710" s="12">
        <v>0.99</v>
      </c>
      <c r="L710" s="23">
        <v>500</v>
      </c>
      <c r="M710" s="22">
        <f>K710/L710*1000</f>
        <v>1.98</v>
      </c>
      <c r="N710" s="23" t="s">
        <v>1043</v>
      </c>
      <c r="O710" s="88" t="s">
        <v>1669</v>
      </c>
    </row>
    <row r="711" spans="9:15" ht="12.75">
      <c r="I711" s="152" t="s">
        <v>1924</v>
      </c>
      <c r="J711" s="55"/>
      <c r="K711" s="73">
        <f>1.49*0.7</f>
        <v>1.043</v>
      </c>
      <c r="L711" s="7">
        <v>500</v>
      </c>
      <c r="M711" s="16">
        <f>K711/L711*1000</f>
        <v>2.086</v>
      </c>
      <c r="N711" s="817" t="s">
        <v>2359</v>
      </c>
      <c r="O711" s="88" t="s">
        <v>3017</v>
      </c>
    </row>
    <row r="712" spans="9:15" ht="12.75">
      <c r="I712" s="162" t="s">
        <v>1924</v>
      </c>
      <c r="J712" s="162"/>
      <c r="K712" s="191">
        <v>1.49</v>
      </c>
      <c r="L712" s="149">
        <v>500</v>
      </c>
      <c r="M712" s="148">
        <f>K712/L712*1000</f>
        <v>2.98</v>
      </c>
      <c r="N712" s="63"/>
      <c r="O712" s="88" t="s">
        <v>1669</v>
      </c>
    </row>
    <row r="713" spans="9:15" ht="12.75">
      <c r="I713" s="157" t="s">
        <v>5</v>
      </c>
      <c r="J713" s="55"/>
      <c r="K713" s="95"/>
      <c r="L713" s="33"/>
      <c r="M713" s="32">
        <v>7.9</v>
      </c>
      <c r="N713" s="63" t="s">
        <v>2279</v>
      </c>
      <c r="O713" s="88" t="s">
        <v>2575</v>
      </c>
    </row>
    <row r="714" spans="9:15" ht="12.75">
      <c r="I714" s="151" t="s">
        <v>5</v>
      </c>
      <c r="J714" s="55"/>
      <c r="K714" s="95"/>
      <c r="L714" s="33"/>
      <c r="M714" s="32">
        <v>9.9</v>
      </c>
      <c r="N714" s="7"/>
      <c r="O714" s="88" t="s">
        <v>2127</v>
      </c>
    </row>
    <row r="715" spans="9:15" ht="12.75">
      <c r="I715" s="157" t="s">
        <v>2241</v>
      </c>
      <c r="J715" s="32">
        <v>7.9</v>
      </c>
      <c r="K715" s="95"/>
      <c r="L715" s="33"/>
      <c r="M715" s="32">
        <f>J715*0.99</f>
        <v>7.821000000000001</v>
      </c>
      <c r="N715" s="63" t="s">
        <v>2279</v>
      </c>
      <c r="O715" s="88" t="s">
        <v>337</v>
      </c>
    </row>
    <row r="716" spans="9:15" ht="12.75">
      <c r="I716" s="43" t="s">
        <v>2669</v>
      </c>
      <c r="J716" s="66"/>
      <c r="K716" s="95"/>
      <c r="L716" s="33"/>
      <c r="M716" s="32">
        <v>25</v>
      </c>
      <c r="N716" s="7"/>
      <c r="O716" s="88" t="s">
        <v>289</v>
      </c>
    </row>
    <row r="717" spans="9:15" ht="12.75">
      <c r="I717" s="31" t="s">
        <v>434</v>
      </c>
      <c r="J717" s="66"/>
      <c r="K717" s="95"/>
      <c r="L717" s="33"/>
      <c r="M717" s="32">
        <v>23</v>
      </c>
      <c r="N717" s="7"/>
      <c r="O717" s="88" t="s">
        <v>942</v>
      </c>
    </row>
    <row r="718" spans="9:15" ht="12.75">
      <c r="I718" s="28" t="s">
        <v>14</v>
      </c>
      <c r="J718" s="96"/>
      <c r="K718" s="111"/>
      <c r="L718" s="30"/>
      <c r="M718" s="29">
        <v>23</v>
      </c>
      <c r="N718" s="7"/>
      <c r="O718" s="88" t="s">
        <v>289</v>
      </c>
    </row>
    <row r="719" spans="9:15" ht="12.75">
      <c r="I719" s="96" t="s">
        <v>1081</v>
      </c>
      <c r="J719" s="96"/>
      <c r="K719" s="111"/>
      <c r="L719" s="30"/>
      <c r="M719" s="29">
        <v>18.9</v>
      </c>
      <c r="N719" s="7"/>
      <c r="O719" s="88" t="s">
        <v>84</v>
      </c>
    </row>
    <row r="720" spans="9:15" ht="12.75">
      <c r="I720" s="96" t="s">
        <v>671</v>
      </c>
      <c r="J720" s="96"/>
      <c r="K720" s="111"/>
      <c r="L720" s="30"/>
      <c r="M720" s="29">
        <v>22</v>
      </c>
      <c r="N720" s="7"/>
      <c r="O720" s="88" t="s">
        <v>1251</v>
      </c>
    </row>
    <row r="721" spans="9:15" ht="12.75">
      <c r="I721" s="151" t="s">
        <v>917</v>
      </c>
      <c r="J721" s="55"/>
      <c r="K721" s="95">
        <v>2.99</v>
      </c>
      <c r="L721" s="33">
        <v>200</v>
      </c>
      <c r="M721" s="32">
        <f>K721/L721*1000</f>
        <v>14.950000000000001</v>
      </c>
      <c r="N721" s="7"/>
      <c r="O721" s="88" t="s">
        <v>1251</v>
      </c>
    </row>
    <row r="722" spans="9:15" ht="12.75">
      <c r="I722" s="66"/>
      <c r="J722" s="55"/>
      <c r="K722" s="95"/>
      <c r="L722" s="33"/>
      <c r="M722" s="32"/>
      <c r="N722" s="7"/>
      <c r="O722" s="88"/>
    </row>
    <row r="723" spans="9:15" ht="12.75">
      <c r="I723" s="66"/>
      <c r="J723" s="55"/>
      <c r="K723" s="95"/>
      <c r="L723" s="33"/>
      <c r="M723" s="32"/>
      <c r="N723" s="7"/>
      <c r="O723" s="88"/>
    </row>
    <row r="724" spans="9:14" ht="12.75">
      <c r="I724" s="31"/>
      <c r="J724" s="66"/>
      <c r="K724" s="95"/>
      <c r="L724" s="33"/>
      <c r="M724" s="32"/>
      <c r="N724" s="7"/>
    </row>
    <row r="725" spans="9:15" ht="18">
      <c r="I725" s="355" t="s">
        <v>2057</v>
      </c>
      <c r="J725" s="55"/>
      <c r="K725" s="95"/>
      <c r="L725" s="33"/>
      <c r="M725" s="32"/>
      <c r="N725" s="7"/>
      <c r="O725" s="88"/>
    </row>
    <row r="726" spans="9:15" ht="12.75">
      <c r="I726" s="31" t="s">
        <v>809</v>
      </c>
      <c r="J726" s="66">
        <v>2.39</v>
      </c>
      <c r="K726" s="95">
        <f>J726*0.97</f>
        <v>2.3183000000000002</v>
      </c>
      <c r="L726" s="33">
        <v>150</v>
      </c>
      <c r="M726" s="32">
        <f aca="true" t="shared" si="36" ref="M726:M731">K726/L726*1000</f>
        <v>15.455333333333336</v>
      </c>
      <c r="N726" s="7"/>
      <c r="O726" s="88" t="s">
        <v>2208</v>
      </c>
    </row>
    <row r="727" spans="2:15" s="3" customFormat="1" ht="12.75">
      <c r="B727" s="196"/>
      <c r="C727" s="196"/>
      <c r="D727" s="196"/>
      <c r="E727" s="738"/>
      <c r="F727" s="199"/>
      <c r="G727" s="196"/>
      <c r="H727" s="196"/>
      <c r="I727" s="303" t="s">
        <v>1316</v>
      </c>
      <c r="K727" s="253">
        <v>2.29</v>
      </c>
      <c r="L727" s="134">
        <v>150</v>
      </c>
      <c r="M727" s="95">
        <f t="shared" si="36"/>
        <v>15.266666666666666</v>
      </c>
      <c r="N727" s="285"/>
      <c r="O727" s="286" t="s">
        <v>1155</v>
      </c>
    </row>
    <row r="728" spans="9:15" ht="12.75">
      <c r="I728" s="31" t="s">
        <v>221</v>
      </c>
      <c r="K728" s="66">
        <v>2.49</v>
      </c>
      <c r="L728" s="33">
        <v>150</v>
      </c>
      <c r="M728" s="32">
        <f t="shared" si="36"/>
        <v>16.6</v>
      </c>
      <c r="N728" s="7"/>
      <c r="O728" s="88" t="s">
        <v>2266</v>
      </c>
    </row>
    <row r="729" spans="2:15" ht="12.75">
      <c r="B729" s="195">
        <v>1.5</v>
      </c>
      <c r="C729" s="195">
        <v>0.2</v>
      </c>
      <c r="D729" s="195">
        <v>0.5</v>
      </c>
      <c r="F729" s="198">
        <v>47</v>
      </c>
      <c r="G729" s="195">
        <f>B729/F729*1000</f>
        <v>31.914893617021274</v>
      </c>
      <c r="H729" s="1212">
        <f>M729/F729*100000</f>
        <v>35319.14893617021</v>
      </c>
      <c r="I729" s="31" t="s">
        <v>1214</v>
      </c>
      <c r="J729" s="66"/>
      <c r="K729" s="95">
        <v>2.49</v>
      </c>
      <c r="L729" s="33">
        <v>150</v>
      </c>
      <c r="M729" s="32">
        <f t="shared" si="36"/>
        <v>16.6</v>
      </c>
      <c r="N729" s="7"/>
      <c r="O729" s="88" t="s">
        <v>84</v>
      </c>
    </row>
    <row r="730" spans="2:15" ht="12.75">
      <c r="B730" s="195">
        <v>1.5</v>
      </c>
      <c r="C730" s="195">
        <v>0.2</v>
      </c>
      <c r="D730" s="195">
        <v>0.5</v>
      </c>
      <c r="F730" s="198">
        <v>47</v>
      </c>
      <c r="G730" s="195">
        <f>B730/F730*1000</f>
        <v>31.914893617021274</v>
      </c>
      <c r="H730" s="1212">
        <f>M730/F730*100000</f>
        <v>35319.14893617021</v>
      </c>
      <c r="I730" s="31" t="s">
        <v>728</v>
      </c>
      <c r="J730" s="66"/>
      <c r="K730" s="95">
        <v>2.49</v>
      </c>
      <c r="L730" s="33">
        <v>150</v>
      </c>
      <c r="M730" s="32">
        <f t="shared" si="36"/>
        <v>16.6</v>
      </c>
      <c r="N730" s="7"/>
      <c r="O730" s="88" t="s">
        <v>2646</v>
      </c>
    </row>
    <row r="731" spans="2:15" s="3" customFormat="1" ht="12.75">
      <c r="B731" s="196"/>
      <c r="C731" s="196"/>
      <c r="D731" s="196"/>
      <c r="E731" s="738"/>
      <c r="F731" s="199"/>
      <c r="G731" s="196"/>
      <c r="H731" s="196"/>
      <c r="I731" s="950" t="s">
        <v>2461</v>
      </c>
      <c r="J731" s="253">
        <v>2.69</v>
      </c>
      <c r="K731" s="95">
        <f>J731*0.97</f>
        <v>2.6092999999999997</v>
      </c>
      <c r="L731" s="134">
        <v>150</v>
      </c>
      <c r="M731" s="95">
        <f t="shared" si="36"/>
        <v>17.395333333333333</v>
      </c>
      <c r="N731" s="285"/>
      <c r="O731" s="286" t="s">
        <v>2213</v>
      </c>
    </row>
    <row r="732" spans="2:15" s="3" customFormat="1" ht="12.75">
      <c r="B732" s="196"/>
      <c r="C732" s="196"/>
      <c r="D732" s="196"/>
      <c r="E732" s="738"/>
      <c r="F732" s="199"/>
      <c r="G732" s="196"/>
      <c r="H732" s="196"/>
      <c r="I732" s="950"/>
      <c r="J732" s="253"/>
      <c r="K732" s="95"/>
      <c r="L732" s="134"/>
      <c r="M732" s="95"/>
      <c r="N732" s="285"/>
      <c r="O732" s="286"/>
    </row>
    <row r="733" spans="9:15" ht="18">
      <c r="I733" s="299" t="s">
        <v>1661</v>
      </c>
      <c r="J733" s="55"/>
      <c r="K733" s="95"/>
      <c r="L733" s="33"/>
      <c r="M733" s="32"/>
      <c r="N733" s="7"/>
      <c r="O733" s="88"/>
    </row>
    <row r="734" spans="2:15" s="3" customFormat="1" ht="12.75">
      <c r="B734" s="196">
        <v>2.1</v>
      </c>
      <c r="C734" s="196">
        <v>0.2</v>
      </c>
      <c r="D734" s="196">
        <v>0.4</v>
      </c>
      <c r="E734" s="738"/>
      <c r="F734" s="199">
        <v>76</v>
      </c>
      <c r="G734" s="195">
        <f>B734/F734*1000</f>
        <v>27.631578947368425</v>
      </c>
      <c r="H734" s="1212">
        <f>M734/F734*100000</f>
        <v>5663.615560640733</v>
      </c>
      <c r="I734" s="1567" t="s">
        <v>3183</v>
      </c>
      <c r="J734" s="1568"/>
      <c r="K734" s="1569">
        <v>0.99</v>
      </c>
      <c r="L734" s="1570">
        <v>230</v>
      </c>
      <c r="M734" s="1571">
        <f>K734/L734*1000</f>
        <v>4.304347826086957</v>
      </c>
      <c r="N734" s="1564"/>
      <c r="O734" s="792" t="s">
        <v>3180</v>
      </c>
    </row>
    <row r="735" spans="2:15" s="3" customFormat="1" ht="12.75">
      <c r="B735" s="196"/>
      <c r="C735" s="196"/>
      <c r="D735" s="196"/>
      <c r="E735" s="738"/>
      <c r="F735" s="199"/>
      <c r="G735" s="195"/>
      <c r="H735" s="1212"/>
      <c r="I735" s="1565" t="s">
        <v>3182</v>
      </c>
      <c r="J735" s="55"/>
      <c r="K735" s="73">
        <v>4.45</v>
      </c>
      <c r="L735" s="285">
        <f>5*170</f>
        <v>850</v>
      </c>
      <c r="M735" s="1566">
        <f>K735/L735*1000</f>
        <v>5.23529411764706</v>
      </c>
      <c r="N735" s="73">
        <f>K735/5*230/170</f>
        <v>1.2041176470588237</v>
      </c>
      <c r="O735" s="1399" t="s">
        <v>3180</v>
      </c>
    </row>
    <row r="736" spans="2:15" s="3" customFormat="1" ht="12.75">
      <c r="B736" s="196"/>
      <c r="C736" s="196"/>
      <c r="D736" s="196"/>
      <c r="E736" s="738"/>
      <c r="F736" s="199"/>
      <c r="G736" s="195"/>
      <c r="H736" s="1212"/>
      <c r="I736" s="1565" t="s">
        <v>3181</v>
      </c>
      <c r="J736" s="55"/>
      <c r="K736" s="73">
        <v>2.79</v>
      </c>
      <c r="L736" s="285">
        <v>230</v>
      </c>
      <c r="M736" s="1566">
        <f>K736/L736*1000</f>
        <v>12.130434782608695</v>
      </c>
      <c r="N736" s="285"/>
      <c r="O736" s="1399" t="s">
        <v>3180</v>
      </c>
    </row>
    <row r="737" spans="2:15" s="3" customFormat="1" ht="12.75">
      <c r="B737" s="196">
        <v>2.3</v>
      </c>
      <c r="C737" s="196">
        <v>0.3</v>
      </c>
      <c r="D737" s="196">
        <v>0.5</v>
      </c>
      <c r="E737" s="738"/>
      <c r="F737" s="199">
        <v>71</v>
      </c>
      <c r="G737" s="195">
        <f aca="true" t="shared" si="37" ref="G737:G742">B737/F737*1000</f>
        <v>32.394366197183096</v>
      </c>
      <c r="H737" s="1212">
        <f aca="true" t="shared" si="38" ref="H737:H743">M737/F737*100000</f>
        <v>6062.461726883038</v>
      </c>
      <c r="I737" s="1567" t="s">
        <v>472</v>
      </c>
      <c r="J737" s="1568"/>
      <c r="K737" s="1569">
        <v>0.99</v>
      </c>
      <c r="L737" s="1570">
        <v>230</v>
      </c>
      <c r="M737" s="1571">
        <f aca="true" t="shared" si="39" ref="M737:M747">K737/L737*1000</f>
        <v>4.304347826086957</v>
      </c>
      <c r="N737" s="1564" t="s">
        <v>3178</v>
      </c>
      <c r="O737" s="792" t="s">
        <v>3169</v>
      </c>
    </row>
    <row r="738" spans="2:15" s="3" customFormat="1" ht="12.75">
      <c r="B738" s="1544">
        <v>2.3</v>
      </c>
      <c r="C738" s="1544">
        <v>0.3</v>
      </c>
      <c r="D738" s="1544">
        <v>0.5</v>
      </c>
      <c r="E738" s="1545"/>
      <c r="F738" s="1546">
        <v>71</v>
      </c>
      <c r="G738" s="1547">
        <f t="shared" si="37"/>
        <v>32.394366197183096</v>
      </c>
      <c r="H738" s="1548">
        <f t="shared" si="38"/>
        <v>5205.1439069197795</v>
      </c>
      <c r="I738" s="1540" t="s">
        <v>472</v>
      </c>
      <c r="J738" s="1541"/>
      <c r="K738" s="1542">
        <v>0.85</v>
      </c>
      <c r="L738" s="1543">
        <v>230</v>
      </c>
      <c r="M738" s="1501">
        <f t="shared" si="39"/>
        <v>3.6956521739130435</v>
      </c>
      <c r="N738" s="285"/>
      <c r="O738" s="792" t="s">
        <v>1030</v>
      </c>
    </row>
    <row r="739" spans="2:15" s="3" customFormat="1" ht="12.75">
      <c r="B739" s="1544">
        <v>2.3</v>
      </c>
      <c r="C739" s="1544">
        <v>0.5</v>
      </c>
      <c r="D739" s="1544">
        <v>0.5</v>
      </c>
      <c r="E739" s="1545"/>
      <c r="F739" s="1546">
        <v>82</v>
      </c>
      <c r="G739" s="1547">
        <f t="shared" si="37"/>
        <v>28.048780487804876</v>
      </c>
      <c r="H739" s="1548">
        <f t="shared" si="38"/>
        <v>4506.892895015906</v>
      </c>
      <c r="I739" s="485" t="s">
        <v>2872</v>
      </c>
      <c r="J739" s="158"/>
      <c r="K739" s="625">
        <v>0.85</v>
      </c>
      <c r="L739" s="133">
        <v>230</v>
      </c>
      <c r="M739" s="29">
        <f t="shared" si="39"/>
        <v>3.6956521739130435</v>
      </c>
      <c r="N739" s="285"/>
      <c r="O739" s="792" t="s">
        <v>1489</v>
      </c>
    </row>
    <row r="740" spans="2:15" s="3" customFormat="1" ht="12.75">
      <c r="B740" s="1544">
        <v>2.3</v>
      </c>
      <c r="C740" s="1544">
        <v>0.5</v>
      </c>
      <c r="D740" s="1544">
        <v>0.5</v>
      </c>
      <c r="E740" s="1545"/>
      <c r="F740" s="1546">
        <v>82</v>
      </c>
      <c r="G740" s="1547">
        <f t="shared" si="37"/>
        <v>28.048780487804876</v>
      </c>
      <c r="H740" s="1548">
        <f t="shared" si="38"/>
        <v>4188.759278897137</v>
      </c>
      <c r="I740" s="485" t="s">
        <v>2872</v>
      </c>
      <c r="J740" s="158"/>
      <c r="K740" s="625">
        <v>0.79</v>
      </c>
      <c r="L740" s="133">
        <v>230</v>
      </c>
      <c r="M740" s="29">
        <f t="shared" si="39"/>
        <v>3.4347826086956523</v>
      </c>
      <c r="N740" s="285"/>
      <c r="O740" s="792" t="s">
        <v>18</v>
      </c>
    </row>
    <row r="741" spans="2:15" s="3" customFormat="1" ht="12.75">
      <c r="B741" s="1544">
        <v>2.3</v>
      </c>
      <c r="C741" s="1544">
        <v>0.5</v>
      </c>
      <c r="D741" s="1544">
        <v>0.5</v>
      </c>
      <c r="E741" s="1545"/>
      <c r="F741" s="1546">
        <v>82</v>
      </c>
      <c r="G741" s="1547">
        <f t="shared" si="37"/>
        <v>28.048780487804876</v>
      </c>
      <c r="H741" s="1548">
        <f t="shared" si="38"/>
        <v>4506.892895015906</v>
      </c>
      <c r="I741" s="485" t="s">
        <v>2872</v>
      </c>
      <c r="J741" s="158"/>
      <c r="K741" s="625">
        <v>0.85</v>
      </c>
      <c r="L741" s="133">
        <v>230</v>
      </c>
      <c r="M741" s="29">
        <f t="shared" si="39"/>
        <v>3.6956521739130435</v>
      </c>
      <c r="N741" s="285"/>
      <c r="O741" s="792" t="s">
        <v>157</v>
      </c>
    </row>
    <row r="742" spans="2:15" s="3" customFormat="1" ht="12.75">
      <c r="B742" s="1544">
        <v>2.3</v>
      </c>
      <c r="C742" s="1544">
        <v>0.1</v>
      </c>
      <c r="D742" s="1544">
        <v>0.5</v>
      </c>
      <c r="E742" s="1545"/>
      <c r="F742" s="1546">
        <v>59</v>
      </c>
      <c r="G742" s="1547">
        <f t="shared" si="37"/>
        <v>38.983050847457626</v>
      </c>
      <c r="H742" s="1548">
        <f t="shared" si="38"/>
        <v>6263.817243920413</v>
      </c>
      <c r="I742" s="485" t="s">
        <v>137</v>
      </c>
      <c r="J742" s="158"/>
      <c r="K742" s="625">
        <v>0.85</v>
      </c>
      <c r="L742" s="133">
        <v>230</v>
      </c>
      <c r="M742" s="29">
        <f t="shared" si="39"/>
        <v>3.6956521739130435</v>
      </c>
      <c r="N742" s="285"/>
      <c r="O742" s="792" t="s">
        <v>1223</v>
      </c>
    </row>
    <row r="743" spans="2:15" s="3" customFormat="1" ht="12.75">
      <c r="B743" s="196">
        <v>3</v>
      </c>
      <c r="C743" s="196">
        <v>1</v>
      </c>
      <c r="D743" s="196">
        <v>0.2</v>
      </c>
      <c r="E743" s="738"/>
      <c r="F743" s="199">
        <v>75</v>
      </c>
      <c r="G743" s="195">
        <f aca="true" t="shared" si="40" ref="G743:G752">B743/F743*1000</f>
        <v>40</v>
      </c>
      <c r="H743" s="1212">
        <f t="shared" si="38"/>
        <v>17176.470588235294</v>
      </c>
      <c r="I743" s="340" t="s">
        <v>2489</v>
      </c>
      <c r="J743" s="253"/>
      <c r="K743" s="95">
        <v>2.19</v>
      </c>
      <c r="L743" s="339">
        <v>170</v>
      </c>
      <c r="M743" s="32">
        <f t="shared" si="39"/>
        <v>12.88235294117647</v>
      </c>
      <c r="N743" s="285"/>
      <c r="O743" s="88" t="s">
        <v>2013</v>
      </c>
    </row>
    <row r="744" spans="2:15" s="3" customFormat="1" ht="12.75">
      <c r="B744" s="196"/>
      <c r="C744" s="196"/>
      <c r="D744" s="196"/>
      <c r="E744" s="738"/>
      <c r="F744" s="199"/>
      <c r="G744" s="195"/>
      <c r="H744" s="195"/>
      <c r="I744" s="950" t="s">
        <v>989</v>
      </c>
      <c r="J744" s="55"/>
      <c r="K744" s="73">
        <v>0.98</v>
      </c>
      <c r="L744" s="285">
        <v>230</v>
      </c>
      <c r="M744" s="16">
        <f t="shared" si="39"/>
        <v>4.260869565217392</v>
      </c>
      <c r="N744" s="285"/>
      <c r="O744" s="1399" t="s">
        <v>2988</v>
      </c>
    </row>
    <row r="745" spans="2:15" s="3" customFormat="1" ht="12.75">
      <c r="B745" s="196">
        <v>2.3</v>
      </c>
      <c r="C745" s="196">
        <v>0.5</v>
      </c>
      <c r="D745" s="196">
        <v>0.5</v>
      </c>
      <c r="E745" s="738"/>
      <c r="F745" s="199">
        <v>71</v>
      </c>
      <c r="G745" s="195">
        <f>B745/F745*1000</f>
        <v>32.394366197183096</v>
      </c>
      <c r="H745" s="1212">
        <f aca="true" t="shared" si="41" ref="H745:H752">M745/F745*100000</f>
        <v>5053.852526926263</v>
      </c>
      <c r="I745" s="485" t="s">
        <v>2886</v>
      </c>
      <c r="J745" s="96"/>
      <c r="K745" s="111">
        <v>0.61</v>
      </c>
      <c r="L745" s="133">
        <v>170</v>
      </c>
      <c r="M745" s="29">
        <f t="shared" si="39"/>
        <v>3.5882352941176467</v>
      </c>
      <c r="N745" s="285"/>
      <c r="O745" s="792" t="s">
        <v>2988</v>
      </c>
    </row>
    <row r="746" spans="2:15" s="3" customFormat="1" ht="12.75">
      <c r="B746" s="196">
        <v>2.1</v>
      </c>
      <c r="C746" s="196">
        <v>0.4</v>
      </c>
      <c r="D746" s="196">
        <v>0.4</v>
      </c>
      <c r="E746" s="738"/>
      <c r="F746" s="199">
        <v>76</v>
      </c>
      <c r="G746" s="195">
        <f>B746/F746*1000</f>
        <v>27.631578947368425</v>
      </c>
      <c r="H746" s="1212">
        <f t="shared" si="41"/>
        <v>4862.700228832952</v>
      </c>
      <c r="I746" s="287" t="s">
        <v>1821</v>
      </c>
      <c r="J746" s="55"/>
      <c r="K746" s="73">
        <v>0.85</v>
      </c>
      <c r="L746" s="285">
        <v>230</v>
      </c>
      <c r="M746" s="16">
        <f t="shared" si="39"/>
        <v>3.6956521739130435</v>
      </c>
      <c r="N746" s="285"/>
      <c r="O746" s="792" t="s">
        <v>175</v>
      </c>
    </row>
    <row r="747" spans="2:15" s="3" customFormat="1" ht="12.75">
      <c r="B747" s="196">
        <v>2.3</v>
      </c>
      <c r="C747" s="196">
        <v>0.6</v>
      </c>
      <c r="D747" s="196">
        <v>0.5</v>
      </c>
      <c r="E747" s="738"/>
      <c r="F747" s="199">
        <v>64</v>
      </c>
      <c r="G747" s="195">
        <f t="shared" si="40"/>
        <v>35.9375</v>
      </c>
      <c r="H747" s="1212">
        <f t="shared" si="41"/>
        <v>5706.521739130434</v>
      </c>
      <c r="I747" s="287" t="s">
        <v>2847</v>
      </c>
      <c r="J747" s="55"/>
      <c r="K747" s="73">
        <v>0.84</v>
      </c>
      <c r="L747" s="285">
        <v>230</v>
      </c>
      <c r="M747" s="16">
        <f t="shared" si="39"/>
        <v>3.652173913043478</v>
      </c>
      <c r="N747" s="285"/>
      <c r="O747" s="1392" t="s">
        <v>415</v>
      </c>
    </row>
    <row r="748" spans="2:15" s="3" customFormat="1" ht="12.75">
      <c r="B748" s="196">
        <v>2.3</v>
      </c>
      <c r="C748" s="196">
        <v>0.3</v>
      </c>
      <c r="D748" s="196">
        <v>0.5</v>
      </c>
      <c r="E748" s="738"/>
      <c r="F748" s="199">
        <v>71</v>
      </c>
      <c r="G748" s="195">
        <f>B748/F748*1000</f>
        <v>32.394366197183096</v>
      </c>
      <c r="H748" s="1212">
        <f t="shared" si="41"/>
        <v>5205.1439069197795</v>
      </c>
      <c r="I748" s="1396" t="s">
        <v>472</v>
      </c>
      <c r="J748" s="152"/>
      <c r="K748" s="127">
        <v>0.85</v>
      </c>
      <c r="L748" s="1418">
        <v>230</v>
      </c>
      <c r="M748" s="129">
        <f aca="true" t="shared" si="42" ref="M748:M753">K748/L748*1000</f>
        <v>3.6956521739130435</v>
      </c>
      <c r="N748" s="285"/>
      <c r="O748" s="792" t="s">
        <v>1030</v>
      </c>
    </row>
    <row r="749" spans="2:15" s="3" customFormat="1" ht="12.75">
      <c r="B749" s="196">
        <v>2.3</v>
      </c>
      <c r="C749" s="196">
        <v>0.5</v>
      </c>
      <c r="D749" s="196">
        <v>0.5</v>
      </c>
      <c r="E749" s="738"/>
      <c r="F749" s="199">
        <v>82</v>
      </c>
      <c r="G749" s="195">
        <f t="shared" si="40"/>
        <v>28.048780487804876</v>
      </c>
      <c r="H749" s="1212">
        <f t="shared" si="41"/>
        <v>4506.892895015906</v>
      </c>
      <c r="I749" s="485" t="s">
        <v>2872</v>
      </c>
      <c r="J749" s="158"/>
      <c r="K749" s="625">
        <v>0.85</v>
      </c>
      <c r="L749" s="133">
        <v>230</v>
      </c>
      <c r="M749" s="29">
        <f t="shared" si="42"/>
        <v>3.6956521739130435</v>
      </c>
      <c r="N749" s="285"/>
      <c r="O749" s="792" t="s">
        <v>1489</v>
      </c>
    </row>
    <row r="750" spans="2:15" s="3" customFormat="1" ht="12.75">
      <c r="B750" s="196">
        <v>2.3</v>
      </c>
      <c r="C750" s="196">
        <v>0.5</v>
      </c>
      <c r="D750" s="196">
        <v>0.5</v>
      </c>
      <c r="E750" s="738"/>
      <c r="F750" s="199">
        <v>82</v>
      </c>
      <c r="G750" s="195">
        <f t="shared" si="40"/>
        <v>28.048780487804876</v>
      </c>
      <c r="H750" s="1212">
        <f t="shared" si="41"/>
        <v>4188.759278897137</v>
      </c>
      <c r="I750" s="485" t="s">
        <v>2872</v>
      </c>
      <c r="J750" s="158"/>
      <c r="K750" s="625">
        <v>0.79</v>
      </c>
      <c r="L750" s="133">
        <v>230</v>
      </c>
      <c r="M750" s="29">
        <f t="shared" si="42"/>
        <v>3.4347826086956523</v>
      </c>
      <c r="N750" s="285"/>
      <c r="O750" s="792" t="s">
        <v>18</v>
      </c>
    </row>
    <row r="751" spans="2:15" s="3" customFormat="1" ht="12.75">
      <c r="B751" s="196">
        <v>2.3</v>
      </c>
      <c r="C751" s="196">
        <v>0.5</v>
      </c>
      <c r="D751" s="196">
        <v>0.5</v>
      </c>
      <c r="E751" s="738"/>
      <c r="F751" s="199">
        <v>82</v>
      </c>
      <c r="G751" s="195">
        <f t="shared" si="40"/>
        <v>28.048780487804876</v>
      </c>
      <c r="H751" s="1212">
        <f t="shared" si="41"/>
        <v>4506.892895015906</v>
      </c>
      <c r="I751" s="485" t="s">
        <v>2872</v>
      </c>
      <c r="J751" s="158"/>
      <c r="K751" s="625">
        <v>0.85</v>
      </c>
      <c r="L751" s="133">
        <v>230</v>
      </c>
      <c r="M751" s="29">
        <f t="shared" si="42"/>
        <v>3.6956521739130435</v>
      </c>
      <c r="N751" s="285"/>
      <c r="O751" s="792" t="s">
        <v>157</v>
      </c>
    </row>
    <row r="752" spans="2:15" s="3" customFormat="1" ht="12.75">
      <c r="B752" s="196">
        <v>2.3</v>
      </c>
      <c r="C752" s="196">
        <v>0.1</v>
      </c>
      <c r="D752" s="196">
        <v>0.5</v>
      </c>
      <c r="E752" s="738"/>
      <c r="F752" s="199">
        <v>59</v>
      </c>
      <c r="G752" s="195">
        <f t="shared" si="40"/>
        <v>38.983050847457626</v>
      </c>
      <c r="H752" s="1212">
        <f t="shared" si="41"/>
        <v>6263.817243920413</v>
      </c>
      <c r="I752" s="485" t="s">
        <v>137</v>
      </c>
      <c r="J752" s="158"/>
      <c r="K752" s="625">
        <v>0.85</v>
      </c>
      <c r="L752" s="133">
        <v>230</v>
      </c>
      <c r="M752" s="29">
        <f t="shared" si="42"/>
        <v>3.6956521739130435</v>
      </c>
      <c r="N752" s="285"/>
      <c r="O752" s="792" t="s">
        <v>1223</v>
      </c>
    </row>
    <row r="753" spans="2:15" s="3" customFormat="1" ht="12.75">
      <c r="B753" s="196"/>
      <c r="C753" s="196"/>
      <c r="D753" s="196"/>
      <c r="E753" s="738"/>
      <c r="F753" s="199"/>
      <c r="G753" s="195"/>
      <c r="H753" s="195"/>
      <c r="I753" s="828" t="s">
        <v>179</v>
      </c>
      <c r="J753" s="780"/>
      <c r="K753" s="127">
        <v>0.84</v>
      </c>
      <c r="L753" s="285">
        <v>230</v>
      </c>
      <c r="M753" s="16">
        <f t="shared" si="42"/>
        <v>3.652173913043478</v>
      </c>
      <c r="N753" s="285"/>
      <c r="O753" s="286" t="s">
        <v>662</v>
      </c>
    </row>
    <row r="754" spans="2:15" s="3" customFormat="1" ht="12.75">
      <c r="B754" s="196"/>
      <c r="C754" s="196"/>
      <c r="D754" s="196"/>
      <c r="E754" s="738"/>
      <c r="F754" s="199"/>
      <c r="G754" s="195"/>
      <c r="H754" s="195"/>
      <c r="I754" s="412" t="s">
        <v>2126</v>
      </c>
      <c r="J754" s="55"/>
      <c r="K754" s="413">
        <v>0.85</v>
      </c>
      <c r="L754" s="414">
        <v>230</v>
      </c>
      <c r="M754" s="148">
        <f aca="true" t="shared" si="43" ref="M754:M759">K754/L754*1000</f>
        <v>3.6956521739130435</v>
      </c>
      <c r="N754" s="285"/>
      <c r="O754" s="286" t="s">
        <v>2310</v>
      </c>
    </row>
    <row r="755" spans="2:15" s="3" customFormat="1" ht="12.75">
      <c r="B755" s="196">
        <v>3.5</v>
      </c>
      <c r="C755" s="196">
        <v>0.5</v>
      </c>
      <c r="D755" s="196">
        <v>0.5</v>
      </c>
      <c r="E755" s="738"/>
      <c r="F755" s="199">
        <v>84</v>
      </c>
      <c r="G755" s="195">
        <f>B755/F755*1000</f>
        <v>41.666666666666664</v>
      </c>
      <c r="H755" s="1212">
        <f>M755/F755*100000</f>
        <v>4399.585921325052</v>
      </c>
      <c r="I755" s="287" t="s">
        <v>2406</v>
      </c>
      <c r="J755" s="431" t="s">
        <v>1797</v>
      </c>
      <c r="K755" s="73">
        <v>0.85</v>
      </c>
      <c r="L755" s="285">
        <v>230</v>
      </c>
      <c r="M755" s="16">
        <f t="shared" si="43"/>
        <v>3.6956521739130435</v>
      </c>
      <c r="N755" s="285"/>
      <c r="O755" s="286" t="s">
        <v>2131</v>
      </c>
    </row>
    <row r="756" spans="2:15" ht="12.75">
      <c r="B756" s="195">
        <v>1.7</v>
      </c>
      <c r="C756" s="195">
        <v>0.4</v>
      </c>
      <c r="D756" s="195">
        <v>0.05</v>
      </c>
      <c r="F756" s="198">
        <v>78</v>
      </c>
      <c r="G756" s="288">
        <f>B756/F756*1000</f>
        <v>21.794871794871792</v>
      </c>
      <c r="H756" s="1212">
        <f>M756/F756*100000</f>
        <v>5260.831122900088</v>
      </c>
      <c r="I756" s="781" t="s">
        <v>2975</v>
      </c>
      <c r="J756" s="162"/>
      <c r="K756" s="191">
        <v>1.19</v>
      </c>
      <c r="L756" s="149">
        <v>290</v>
      </c>
      <c r="M756" s="148">
        <f t="shared" si="43"/>
        <v>4.1034482758620685</v>
      </c>
      <c r="N756" s="7"/>
      <c r="O756" s="88" t="s">
        <v>2054</v>
      </c>
    </row>
    <row r="757" spans="2:15" ht="12.75">
      <c r="B757" s="195">
        <v>1</v>
      </c>
      <c r="C757" s="195">
        <v>1.6</v>
      </c>
      <c r="D757" s="195">
        <v>0.3</v>
      </c>
      <c r="F757" s="198">
        <v>55</v>
      </c>
      <c r="G757" s="288">
        <f>B757/F757*1000</f>
        <v>18.18181818181818</v>
      </c>
      <c r="H757" s="1212">
        <f>M757/F757*100000</f>
        <v>6206.896551724138</v>
      </c>
      <c r="I757" s="416" t="s">
        <v>2975</v>
      </c>
      <c r="J757" s="164"/>
      <c r="K757" s="175">
        <v>0.99</v>
      </c>
      <c r="L757" s="69">
        <v>290</v>
      </c>
      <c r="M757" s="68">
        <f t="shared" si="43"/>
        <v>3.413793103448276</v>
      </c>
      <c r="N757" s="7"/>
      <c r="O757" s="88" t="s">
        <v>2731</v>
      </c>
    </row>
    <row r="758" spans="9:15" ht="12.75">
      <c r="I758" s="206" t="s">
        <v>2846</v>
      </c>
      <c r="J758" s="55"/>
      <c r="K758" s="73">
        <v>1.79</v>
      </c>
      <c r="L758" s="7">
        <v>290</v>
      </c>
      <c r="M758" s="16">
        <f t="shared" si="43"/>
        <v>6.172413793103448</v>
      </c>
      <c r="N758" s="7"/>
      <c r="O758" s="88" t="s">
        <v>2731</v>
      </c>
    </row>
    <row r="759" spans="9:15" ht="12.75">
      <c r="I759" s="6" t="s">
        <v>2003</v>
      </c>
      <c r="J759" s="55"/>
      <c r="K759" s="73">
        <v>0.9</v>
      </c>
      <c r="L759" s="7">
        <v>156</v>
      </c>
      <c r="M759" s="16">
        <f t="shared" si="43"/>
        <v>5.769230769230769</v>
      </c>
      <c r="N759" s="7"/>
      <c r="O759" s="88" t="s">
        <v>1016</v>
      </c>
    </row>
    <row r="760" spans="9:15" ht="12.75">
      <c r="I760" s="6"/>
      <c r="J760" s="55"/>
      <c r="K760" s="73"/>
      <c r="L760" s="7"/>
      <c r="M760" s="16"/>
      <c r="N760" s="7"/>
      <c r="O760" s="88"/>
    </row>
    <row r="761" spans="9:15" ht="12.75">
      <c r="I761" s="6"/>
      <c r="J761" s="55"/>
      <c r="K761" s="73"/>
      <c r="L761" s="7"/>
      <c r="M761" s="16"/>
      <c r="N761" s="7"/>
      <c r="O761" s="88"/>
    </row>
    <row r="762" spans="9:16" ht="18">
      <c r="I762" s="284" t="s">
        <v>1487</v>
      </c>
      <c r="J762" s="55"/>
      <c r="K762" s="73"/>
      <c r="L762" s="7"/>
      <c r="M762" s="16"/>
      <c r="N762" s="7"/>
      <c r="O762" s="88"/>
      <c r="P762" s="15"/>
    </row>
    <row r="763" spans="9:16" ht="12.75">
      <c r="I763" s="6" t="s">
        <v>804</v>
      </c>
      <c r="J763" s="55"/>
      <c r="K763" s="73">
        <v>5.59</v>
      </c>
      <c r="L763" s="7">
        <v>100</v>
      </c>
      <c r="M763" s="25">
        <f aca="true" t="shared" si="44" ref="M763:M768">K763/L763*1000</f>
        <v>55.9</v>
      </c>
      <c r="N763" s="254"/>
      <c r="O763" s="51" t="s">
        <v>805</v>
      </c>
      <c r="P763" s="150"/>
    </row>
    <row r="764" spans="9:16" ht="12.75">
      <c r="I764" s="6" t="s">
        <v>520</v>
      </c>
      <c r="J764" s="55"/>
      <c r="K764" s="73">
        <v>19.9</v>
      </c>
      <c r="L764" s="7">
        <v>1000</v>
      </c>
      <c r="M764" s="16">
        <f t="shared" si="44"/>
        <v>19.9</v>
      </c>
      <c r="N764" s="254"/>
      <c r="O764" s="51" t="s">
        <v>662</v>
      </c>
      <c r="P764" s="150"/>
    </row>
    <row r="765" spans="9:16" ht="12.75">
      <c r="I765" s="6" t="s">
        <v>1854</v>
      </c>
      <c r="J765" s="55"/>
      <c r="K765" s="73">
        <v>2.2</v>
      </c>
      <c r="L765" s="7">
        <v>100</v>
      </c>
      <c r="M765" s="16">
        <f t="shared" si="44"/>
        <v>22.000000000000004</v>
      </c>
      <c r="N765" s="254" t="s">
        <v>2042</v>
      </c>
      <c r="O765" s="88" t="s">
        <v>1088</v>
      </c>
      <c r="P765" s="150"/>
    </row>
    <row r="766" spans="9:16" ht="12.75">
      <c r="I766" s="6" t="s">
        <v>148</v>
      </c>
      <c r="J766" s="55"/>
      <c r="K766" s="73">
        <v>1.5</v>
      </c>
      <c r="L766" s="7">
        <v>50</v>
      </c>
      <c r="M766" s="16">
        <f t="shared" si="44"/>
        <v>30</v>
      </c>
      <c r="N766" s="122"/>
      <c r="O766" s="88" t="s">
        <v>2237</v>
      </c>
      <c r="P766" s="150"/>
    </row>
    <row r="767" spans="9:16" ht="12.75">
      <c r="I767" s="147" t="s">
        <v>148</v>
      </c>
      <c r="J767" s="162"/>
      <c r="K767" s="191">
        <v>1.3</v>
      </c>
      <c r="L767" s="149">
        <v>50</v>
      </c>
      <c r="M767" s="148">
        <f t="shared" si="44"/>
        <v>26.000000000000004</v>
      </c>
      <c r="N767" s="122"/>
      <c r="O767" s="88" t="s">
        <v>1142</v>
      </c>
      <c r="P767" s="150" t="s">
        <v>2230</v>
      </c>
    </row>
    <row r="768" spans="9:16" ht="12.75">
      <c r="I768" s="15" t="s">
        <v>2578</v>
      </c>
      <c r="J768" s="55"/>
      <c r="K768" s="73">
        <v>1.99</v>
      </c>
      <c r="L768" s="7">
        <v>80</v>
      </c>
      <c r="M768" s="16">
        <f t="shared" si="44"/>
        <v>24.875</v>
      </c>
      <c r="N768" s="122"/>
      <c r="O768" s="88" t="s">
        <v>1646</v>
      </c>
      <c r="P768" s="150" t="s">
        <v>2635</v>
      </c>
    </row>
    <row r="769" spans="9:15" ht="12.75">
      <c r="I769" s="82"/>
      <c r="J769" s="105"/>
      <c r="K769" s="126"/>
      <c r="L769" s="36"/>
      <c r="M769" s="35"/>
      <c r="N769" s="83"/>
      <c r="O769" s="88"/>
    </row>
    <row r="770" spans="9:16" ht="18">
      <c r="I770" s="284" t="s">
        <v>1793</v>
      </c>
      <c r="J770" s="55"/>
      <c r="K770" s="73"/>
      <c r="L770" s="7"/>
      <c r="M770" s="16"/>
      <c r="N770" s="7"/>
      <c r="O770" s="88"/>
      <c r="P770" s="15"/>
    </row>
    <row r="771" spans="9:16" ht="12.75">
      <c r="I771" s="6" t="s">
        <v>2027</v>
      </c>
      <c r="J771" s="55"/>
      <c r="K771" s="73">
        <v>1.39</v>
      </c>
      <c r="L771" s="7">
        <v>71</v>
      </c>
      <c r="M771" s="16">
        <f>K771/L771*1000</f>
        <v>19.577464788732396</v>
      </c>
      <c r="N771" s="122"/>
      <c r="O771" s="88" t="s">
        <v>662</v>
      </c>
      <c r="P771" s="15"/>
    </row>
    <row r="772" spans="9:16" ht="12.75">
      <c r="I772" s="6" t="s">
        <v>1764</v>
      </c>
      <c r="J772" s="55"/>
      <c r="K772" s="73">
        <v>1.99</v>
      </c>
      <c r="L772" s="7">
        <v>100</v>
      </c>
      <c r="M772" s="16">
        <f>K772/L772*1000</f>
        <v>19.900000000000002</v>
      </c>
      <c r="N772" s="122"/>
      <c r="O772" s="88" t="s">
        <v>662</v>
      </c>
      <c r="P772" s="15"/>
    </row>
    <row r="773" spans="9:16" ht="12.75">
      <c r="I773" s="37" t="s">
        <v>945</v>
      </c>
      <c r="J773" s="38"/>
      <c r="K773" s="53">
        <v>1.79</v>
      </c>
      <c r="L773" s="26">
        <v>30</v>
      </c>
      <c r="M773" s="25">
        <f>K773/L773*1000</f>
        <v>59.666666666666664</v>
      </c>
      <c r="N773" s="122"/>
      <c r="O773" s="88" t="s">
        <v>1804</v>
      </c>
      <c r="P773" s="15"/>
    </row>
    <row r="774" spans="9:16" ht="12.75">
      <c r="I774" s="37"/>
      <c r="J774" s="38"/>
      <c r="K774" s="53"/>
      <c r="L774" s="26"/>
      <c r="M774" s="25"/>
      <c r="N774" s="122"/>
      <c r="O774" s="88"/>
      <c r="P774" s="15"/>
    </row>
    <row r="775" spans="9:16" ht="18">
      <c r="I775" s="284" t="s">
        <v>2363</v>
      </c>
      <c r="J775" s="55"/>
      <c r="K775" s="73"/>
      <c r="L775" s="7"/>
      <c r="M775" s="16"/>
      <c r="N775" s="7"/>
      <c r="O775" s="88"/>
      <c r="P775" s="15"/>
    </row>
    <row r="776" spans="9:15" ht="12.75">
      <c r="I776" s="82" t="s">
        <v>1535</v>
      </c>
      <c r="J776" s="105">
        <v>6.9</v>
      </c>
      <c r="K776" s="126">
        <f>J776*0.97</f>
        <v>6.6930000000000005</v>
      </c>
      <c r="L776" s="36">
        <v>30</v>
      </c>
      <c r="M776" s="35">
        <f>K776/L776*1000</f>
        <v>223.10000000000002</v>
      </c>
      <c r="N776" s="36" t="s">
        <v>1160</v>
      </c>
      <c r="O776" s="88" t="s">
        <v>1142</v>
      </c>
    </row>
    <row r="777" spans="9:15" ht="12.75">
      <c r="I777" s="82"/>
      <c r="J777" s="105"/>
      <c r="K777" s="126"/>
      <c r="L777" s="36"/>
      <c r="M777" s="35"/>
      <c r="N777" s="36"/>
      <c r="O777" s="88"/>
    </row>
    <row r="778" spans="9:15" ht="12.75">
      <c r="I778" s="6"/>
      <c r="J778" s="55"/>
      <c r="K778" s="73"/>
      <c r="L778" s="7"/>
      <c r="M778" s="16"/>
      <c r="O778" s="88"/>
    </row>
    <row r="779" spans="9:15" ht="15.75">
      <c r="I779" s="52" t="s">
        <v>1926</v>
      </c>
      <c r="J779" s="55"/>
      <c r="K779" s="73"/>
      <c r="L779" s="7"/>
      <c r="M779" s="16"/>
      <c r="O779" s="88"/>
    </row>
    <row r="780" spans="8:15" ht="12.75">
      <c r="H780" s="1212"/>
      <c r="I780" s="37" t="s">
        <v>2299</v>
      </c>
      <c r="J780" s="55"/>
      <c r="K780" s="73">
        <v>1.89</v>
      </c>
      <c r="L780" s="7">
        <v>180</v>
      </c>
      <c r="M780" s="25">
        <f>K780/L780*1000</f>
        <v>10.499999999999998</v>
      </c>
      <c r="N780" s="7" t="s">
        <v>1707</v>
      </c>
      <c r="O780" s="51" t="s">
        <v>2514</v>
      </c>
    </row>
    <row r="781" spans="2:15" ht="12.75">
      <c r="B781" s="195">
        <v>1.1</v>
      </c>
      <c r="C781" s="195">
        <v>0.7</v>
      </c>
      <c r="D781" s="195">
        <v>0.4</v>
      </c>
      <c r="F781" s="198">
        <v>49</v>
      </c>
      <c r="G781" s="1430">
        <f>B781/F781*1000</f>
        <v>22.448979591836736</v>
      </c>
      <c r="H781" s="1433">
        <f>M781/F781*100000</f>
        <v>14761.90476190476</v>
      </c>
      <c r="I781" s="15" t="s">
        <v>869</v>
      </c>
      <c r="J781" s="55"/>
      <c r="K781" s="1439">
        <v>2.17</v>
      </c>
      <c r="L781" s="895">
        <v>300</v>
      </c>
      <c r="M781" s="1210">
        <f>K781/L781*1000</f>
        <v>7.2333333333333325</v>
      </c>
      <c r="N781" s="7" t="s">
        <v>1707</v>
      </c>
      <c r="O781" s="88" t="s">
        <v>2514</v>
      </c>
    </row>
    <row r="782" spans="2:15" ht="12.75">
      <c r="B782" s="195">
        <v>0.7</v>
      </c>
      <c r="C782" s="195">
        <v>3.1</v>
      </c>
      <c r="D782" s="195">
        <v>0</v>
      </c>
      <c r="F782" s="198">
        <v>81</v>
      </c>
      <c r="G782" s="1431">
        <f>B782/F782*1000</f>
        <v>8.641975308641975</v>
      </c>
      <c r="H782" s="1433">
        <f>M782/F782*100000</f>
        <v>7583.774250440917</v>
      </c>
      <c r="I782" s="15" t="s">
        <v>2887</v>
      </c>
      <c r="J782" s="55"/>
      <c r="K782" s="73">
        <v>0.86</v>
      </c>
      <c r="L782" s="7">
        <v>140</v>
      </c>
      <c r="M782" s="16">
        <f aca="true" t="shared" si="45" ref="M782:M787">K782/L782*1000</f>
        <v>6.142857142857142</v>
      </c>
      <c r="N782" s="7" t="s">
        <v>1707</v>
      </c>
      <c r="O782" s="88" t="s">
        <v>3121</v>
      </c>
    </row>
    <row r="783" spans="2:15" ht="12.75">
      <c r="B783" s="195">
        <v>0.7</v>
      </c>
      <c r="C783" s="195">
        <v>3.1</v>
      </c>
      <c r="D783" s="195">
        <v>0</v>
      </c>
      <c r="F783" s="198">
        <v>81</v>
      </c>
      <c r="G783" s="1434">
        <f>B783/F783*1000</f>
        <v>8.641975308641975</v>
      </c>
      <c r="H783" s="1212">
        <f>M783/F783*100000</f>
        <v>8284.600389863548</v>
      </c>
      <c r="I783" s="6" t="s">
        <v>2888</v>
      </c>
      <c r="J783" s="55"/>
      <c r="K783" s="73">
        <v>2.04</v>
      </c>
      <c r="L783" s="7">
        <v>304</v>
      </c>
      <c r="M783" s="16">
        <f t="shared" si="45"/>
        <v>6.710526315789474</v>
      </c>
      <c r="N783" s="7" t="s">
        <v>1707</v>
      </c>
      <c r="O783" s="88" t="s">
        <v>3121</v>
      </c>
    </row>
    <row r="784" spans="2:15" ht="12.75">
      <c r="B784" s="195">
        <v>0.7</v>
      </c>
      <c r="C784" s="195">
        <v>3.1</v>
      </c>
      <c r="D784" s="195">
        <v>0</v>
      </c>
      <c r="F784" s="1432">
        <v>81</v>
      </c>
      <c r="G784" s="195">
        <f>B784/F784*1000</f>
        <v>8.641975308641975</v>
      </c>
      <c r="H784" s="1433">
        <f>M784/F784*100000</f>
        <v>8284.600389863548</v>
      </c>
      <c r="I784" s="6" t="s">
        <v>2889</v>
      </c>
      <c r="J784" s="55"/>
      <c r="K784" s="73">
        <v>2.04</v>
      </c>
      <c r="L784" s="7">
        <v>304</v>
      </c>
      <c r="M784" s="16">
        <f t="shared" si="45"/>
        <v>6.710526315789474</v>
      </c>
      <c r="N784" s="7" t="s">
        <v>1707</v>
      </c>
      <c r="O784" s="88" t="s">
        <v>3121</v>
      </c>
    </row>
    <row r="785" spans="7:15" ht="12.75">
      <c r="G785" s="1429"/>
      <c r="I785" s="119" t="s">
        <v>819</v>
      </c>
      <c r="J785" s="160"/>
      <c r="K785" s="181">
        <v>1</v>
      </c>
      <c r="L785" s="19">
        <v>300</v>
      </c>
      <c r="M785" s="18">
        <f t="shared" si="45"/>
        <v>3.3333333333333335</v>
      </c>
      <c r="N785" s="19" t="s">
        <v>1707</v>
      </c>
      <c r="O785" s="1091" t="s">
        <v>2208</v>
      </c>
    </row>
    <row r="786" spans="9:15" ht="12.75">
      <c r="I786" s="119" t="s">
        <v>765</v>
      </c>
      <c r="J786" s="160"/>
      <c r="K786" s="181">
        <v>1</v>
      </c>
      <c r="L786" s="19">
        <v>280</v>
      </c>
      <c r="M786" s="18">
        <f t="shared" si="45"/>
        <v>3.571428571428571</v>
      </c>
      <c r="N786" s="19" t="s">
        <v>2203</v>
      </c>
      <c r="O786" s="1091" t="s">
        <v>2208</v>
      </c>
    </row>
    <row r="787" spans="9:15" ht="12.75">
      <c r="I787" s="119" t="s">
        <v>1046</v>
      </c>
      <c r="J787" s="160"/>
      <c r="K787" s="181">
        <v>1</v>
      </c>
      <c r="L787" s="19">
        <v>283</v>
      </c>
      <c r="M787" s="18">
        <f t="shared" si="45"/>
        <v>3.5335689045936394</v>
      </c>
      <c r="N787" s="19" t="s">
        <v>2203</v>
      </c>
      <c r="O787" s="1091" t="s">
        <v>2208</v>
      </c>
    </row>
    <row r="788" spans="9:15" ht="12.75">
      <c r="I788" s="119"/>
      <c r="J788" s="160"/>
      <c r="K788" s="181"/>
      <c r="L788" s="19"/>
      <c r="M788" s="18"/>
      <c r="N788" s="19"/>
      <c r="O788" s="1091"/>
    </row>
    <row r="789" spans="9:15" ht="15.75">
      <c r="I789" s="52" t="s">
        <v>886</v>
      </c>
      <c r="J789" s="160"/>
      <c r="K789" s="181"/>
      <c r="L789" s="19"/>
      <c r="M789" s="18"/>
      <c r="N789" s="19"/>
      <c r="O789" s="1091"/>
    </row>
    <row r="790" spans="2:15" ht="12.75">
      <c r="B790" s="195">
        <v>0.9</v>
      </c>
      <c r="C790" s="195">
        <v>3.6</v>
      </c>
      <c r="D790" s="195">
        <v>0.5</v>
      </c>
      <c r="F790" s="198">
        <v>100</v>
      </c>
      <c r="G790" s="195">
        <f>B790/F790*1000</f>
        <v>9.000000000000002</v>
      </c>
      <c r="H790" s="1212">
        <f>M790/F790*100000</f>
        <v>6882.35294117647</v>
      </c>
      <c r="I790" s="6" t="s">
        <v>971</v>
      </c>
      <c r="J790" s="55"/>
      <c r="K790" s="73">
        <v>2.34</v>
      </c>
      <c r="L790" s="7">
        <v>340</v>
      </c>
      <c r="M790" s="16">
        <f>K790/L790*1000</f>
        <v>6.88235294117647</v>
      </c>
      <c r="O790" s="88" t="s">
        <v>2384</v>
      </c>
    </row>
    <row r="791" spans="9:15" ht="12.75">
      <c r="I791" s="37"/>
      <c r="J791" s="55"/>
      <c r="K791" s="73"/>
      <c r="L791" s="7"/>
      <c r="M791" s="16"/>
      <c r="O791" s="88"/>
    </row>
    <row r="792" spans="9:15" ht="12.75">
      <c r="I792" s="37"/>
      <c r="J792" s="55"/>
      <c r="K792" s="73"/>
      <c r="L792" s="7"/>
      <c r="M792" s="16"/>
      <c r="O792" s="88"/>
    </row>
    <row r="793" spans="9:15" ht="15.75">
      <c r="I793" s="52" t="s">
        <v>2411</v>
      </c>
      <c r="J793" s="55"/>
      <c r="K793" s="73"/>
      <c r="L793" s="7"/>
      <c r="M793" s="16"/>
      <c r="O793" s="88"/>
    </row>
    <row r="794" spans="9:15" ht="12.75">
      <c r="I794" s="6" t="s">
        <v>2942</v>
      </c>
      <c r="J794" s="55"/>
      <c r="K794" s="73">
        <v>1</v>
      </c>
      <c r="L794" s="7">
        <v>155</v>
      </c>
      <c r="M794" s="16">
        <f aca="true" t="shared" si="46" ref="M794:M800">K794/L794*1000</f>
        <v>6.451612903225806</v>
      </c>
      <c r="O794" s="88" t="s">
        <v>2208</v>
      </c>
    </row>
    <row r="795" spans="9:15" ht="12.75">
      <c r="I795" s="15" t="s">
        <v>2942</v>
      </c>
      <c r="J795" s="55"/>
      <c r="K795" s="73">
        <v>1.3</v>
      </c>
      <c r="L795" s="7">
        <v>210</v>
      </c>
      <c r="M795" s="16">
        <f t="shared" si="46"/>
        <v>6.190476190476191</v>
      </c>
      <c r="O795" s="88" t="s">
        <v>2266</v>
      </c>
    </row>
    <row r="796" spans="9:16" ht="12.75">
      <c r="I796" s="6" t="s">
        <v>9</v>
      </c>
      <c r="J796" s="55"/>
      <c r="K796" s="73">
        <v>1.4</v>
      </c>
      <c r="L796" s="7">
        <v>450</v>
      </c>
      <c r="M796" s="16">
        <f t="shared" si="46"/>
        <v>3.1111111111111107</v>
      </c>
      <c r="O796" s="88" t="s">
        <v>2208</v>
      </c>
      <c r="P796" s="150" t="s">
        <v>2230</v>
      </c>
    </row>
    <row r="797" spans="9:15" ht="12.75">
      <c r="I797" s="6" t="s">
        <v>1686</v>
      </c>
      <c r="J797" s="55"/>
      <c r="K797" s="73">
        <v>1.1</v>
      </c>
      <c r="L797" s="7">
        <v>420</v>
      </c>
      <c r="M797" s="16">
        <f t="shared" si="46"/>
        <v>2.6190476190476195</v>
      </c>
      <c r="N797" s="108" t="s">
        <v>1561</v>
      </c>
      <c r="O797" s="88" t="s">
        <v>2208</v>
      </c>
    </row>
    <row r="798" spans="9:15" ht="12.75">
      <c r="I798" s="6" t="s">
        <v>1897</v>
      </c>
      <c r="J798" s="55"/>
      <c r="K798" s="73">
        <v>0.8</v>
      </c>
      <c r="L798" s="7">
        <v>280</v>
      </c>
      <c r="M798" s="16">
        <f t="shared" si="46"/>
        <v>2.857142857142857</v>
      </c>
      <c r="O798" s="88" t="s">
        <v>2208</v>
      </c>
    </row>
    <row r="799" spans="9:15" ht="12.75">
      <c r="I799" s="6" t="s">
        <v>20</v>
      </c>
      <c r="J799" s="55"/>
      <c r="K799" s="73">
        <v>1.5</v>
      </c>
      <c r="L799" s="7">
        <v>168</v>
      </c>
      <c r="M799" s="16">
        <f t="shared" si="46"/>
        <v>8.928571428571429</v>
      </c>
      <c r="N799" s="108" t="s">
        <v>2167</v>
      </c>
      <c r="O799" s="88" t="s">
        <v>2208</v>
      </c>
    </row>
    <row r="800" spans="9:15" ht="12.75">
      <c r="I800" s="6" t="s">
        <v>1077</v>
      </c>
      <c r="J800" s="55"/>
      <c r="K800" s="73">
        <v>1.9</v>
      </c>
      <c r="L800" s="7">
        <v>400</v>
      </c>
      <c r="M800" s="16">
        <f t="shared" si="46"/>
        <v>4.75</v>
      </c>
      <c r="N800" s="108" t="s">
        <v>2209</v>
      </c>
      <c r="O800" s="88" t="s">
        <v>2208</v>
      </c>
    </row>
    <row r="801" spans="9:15" ht="15.75">
      <c r="I801" s="52" t="s">
        <v>2563</v>
      </c>
      <c r="J801" s="55"/>
      <c r="K801" s="73"/>
      <c r="L801" s="7"/>
      <c r="M801" s="16"/>
      <c r="O801" s="88"/>
    </row>
    <row r="802" spans="9:15" ht="12.75">
      <c r="I802" s="123" t="s">
        <v>1943</v>
      </c>
      <c r="J802" s="55"/>
      <c r="K802" s="73"/>
      <c r="L802" s="7"/>
      <c r="M802" s="16"/>
      <c r="N802" s="124" t="s">
        <v>648</v>
      </c>
      <c r="O802" s="88" t="s">
        <v>2208</v>
      </c>
    </row>
    <row r="803" spans="9:15" ht="12.75">
      <c r="I803" s="15" t="s">
        <v>701</v>
      </c>
      <c r="J803" s="55"/>
      <c r="K803" s="73">
        <v>1.5</v>
      </c>
      <c r="L803" s="7">
        <v>410</v>
      </c>
      <c r="M803" s="16">
        <f>K803/L803*1000</f>
        <v>3.658536585365854</v>
      </c>
      <c r="O803" s="88" t="s">
        <v>1155</v>
      </c>
    </row>
    <row r="804" spans="9:15" ht="12.75">
      <c r="I804" s="15" t="s">
        <v>767</v>
      </c>
      <c r="J804" s="55"/>
      <c r="K804" s="73">
        <v>1.5</v>
      </c>
      <c r="L804" s="7">
        <v>410</v>
      </c>
      <c r="M804" s="16">
        <f>K804/L804*1000</f>
        <v>3.658536585365854</v>
      </c>
      <c r="O804" s="88" t="s">
        <v>1962</v>
      </c>
    </row>
    <row r="805" spans="9:15" ht="12.75">
      <c r="I805" s="15" t="s">
        <v>1042</v>
      </c>
      <c r="J805" s="55"/>
      <c r="K805" s="73">
        <v>1.5</v>
      </c>
      <c r="L805" s="7">
        <v>410</v>
      </c>
      <c r="M805" s="16">
        <f>K805/L805*1000</f>
        <v>3.658536585365854</v>
      </c>
      <c r="O805" s="88" t="s">
        <v>1155</v>
      </c>
    </row>
    <row r="806" spans="9:16" ht="12.75">
      <c r="I806" s="37" t="s">
        <v>630</v>
      </c>
      <c r="J806" s="55"/>
      <c r="K806" s="73">
        <v>1.9</v>
      </c>
      <c r="L806" s="7">
        <v>410</v>
      </c>
      <c r="M806" s="16">
        <f>K806/L806*1000</f>
        <v>4.634146341463414</v>
      </c>
      <c r="O806" s="88" t="s">
        <v>2208</v>
      </c>
      <c r="P806" s="145" t="s">
        <v>810</v>
      </c>
    </row>
    <row r="807" spans="9:15" ht="15.75">
      <c r="I807" s="52" t="s">
        <v>39</v>
      </c>
      <c r="J807" s="55"/>
      <c r="K807" s="73"/>
      <c r="L807" s="7"/>
      <c r="M807" s="16"/>
      <c r="O807" s="88"/>
    </row>
    <row r="808" spans="9:15" ht="12.75">
      <c r="I808" s="6" t="s">
        <v>998</v>
      </c>
      <c r="J808" s="55"/>
      <c r="K808" s="73">
        <v>2.9</v>
      </c>
      <c r="L808" s="7">
        <v>840</v>
      </c>
      <c r="M808" s="16">
        <f>K808/L808*1000</f>
        <v>3.4523809523809526</v>
      </c>
      <c r="O808" s="88" t="s">
        <v>1020</v>
      </c>
    </row>
    <row r="809" spans="9:15" ht="12.75">
      <c r="I809" s="6" t="s">
        <v>998</v>
      </c>
      <c r="J809" s="55"/>
      <c r="K809" s="73">
        <v>1</v>
      </c>
      <c r="L809" s="7">
        <v>280</v>
      </c>
      <c r="M809" s="16">
        <f aca="true" t="shared" si="47" ref="M809:M817">K809/L809*1000</f>
        <v>3.571428571428571</v>
      </c>
      <c r="O809" s="88" t="s">
        <v>1142</v>
      </c>
    </row>
    <row r="810" spans="9:15" ht="12.75">
      <c r="I810" s="6" t="s">
        <v>1923</v>
      </c>
      <c r="J810" s="55"/>
      <c r="K810" s="73">
        <v>1.7</v>
      </c>
      <c r="L810" s="7">
        <v>225</v>
      </c>
      <c r="M810" s="16">
        <f t="shared" si="47"/>
        <v>7.555555555555555</v>
      </c>
      <c r="N810" t="s">
        <v>3028</v>
      </c>
      <c r="O810" s="88" t="s">
        <v>2208</v>
      </c>
    </row>
    <row r="811" spans="9:15" ht="12.75">
      <c r="I811" s="6" t="s">
        <v>1818</v>
      </c>
      <c r="J811" s="55"/>
      <c r="K811" s="73">
        <v>1.7</v>
      </c>
      <c r="L811" s="7">
        <v>280</v>
      </c>
      <c r="M811" s="16">
        <f t="shared" si="47"/>
        <v>6.071428571428571</v>
      </c>
      <c r="N811" t="s">
        <v>3028</v>
      </c>
      <c r="O811" s="88" t="s">
        <v>2208</v>
      </c>
    </row>
    <row r="812" spans="9:15" ht="12.75">
      <c r="I812" s="6" t="s">
        <v>1819</v>
      </c>
      <c r="J812" s="55"/>
      <c r="K812" s="73">
        <v>1.7</v>
      </c>
      <c r="L812" s="7">
        <v>230</v>
      </c>
      <c r="M812" s="16">
        <f t="shared" si="47"/>
        <v>7.391304347826087</v>
      </c>
      <c r="N812" t="s">
        <v>3028</v>
      </c>
      <c r="O812" s="88" t="s">
        <v>2208</v>
      </c>
    </row>
    <row r="813" spans="9:15" ht="12.75">
      <c r="I813" s="15" t="s">
        <v>380</v>
      </c>
      <c r="J813" s="55"/>
      <c r="K813" s="73">
        <v>1.3</v>
      </c>
      <c r="L813" s="7">
        <v>280</v>
      </c>
      <c r="M813" s="16">
        <f t="shared" si="47"/>
        <v>4.642857142857143</v>
      </c>
      <c r="N813" s="108"/>
      <c r="O813" s="88" t="s">
        <v>1142</v>
      </c>
    </row>
    <row r="814" spans="9:15" ht="12.75">
      <c r="I814" s="174" t="s">
        <v>380</v>
      </c>
      <c r="J814" s="164"/>
      <c r="K814" s="175">
        <v>1.4</v>
      </c>
      <c r="L814" s="69">
        <v>280</v>
      </c>
      <c r="M814" s="68">
        <f t="shared" si="47"/>
        <v>5</v>
      </c>
      <c r="N814" s="108"/>
      <c r="O814" s="88" t="s">
        <v>1155</v>
      </c>
    </row>
    <row r="815" spans="9:15" ht="12.75">
      <c r="I815" s="6" t="s">
        <v>2144</v>
      </c>
      <c r="J815" s="55"/>
      <c r="K815" s="73">
        <v>1.6</v>
      </c>
      <c r="L815" s="7">
        <v>230</v>
      </c>
      <c r="M815" s="16">
        <f t="shared" si="47"/>
        <v>6.9565217391304355</v>
      </c>
      <c r="N815" s="108"/>
      <c r="O815" s="88" t="s">
        <v>1016</v>
      </c>
    </row>
    <row r="816" spans="9:16" ht="12.75">
      <c r="I816" s="15" t="s">
        <v>2145</v>
      </c>
      <c r="J816" s="55"/>
      <c r="K816" s="73">
        <v>1.3</v>
      </c>
      <c r="L816" s="7">
        <v>255</v>
      </c>
      <c r="M816" s="16">
        <f t="shared" si="47"/>
        <v>5.098039215686275</v>
      </c>
      <c r="N816" s="108"/>
      <c r="O816" s="88" t="s">
        <v>1142</v>
      </c>
      <c r="P816" s="145"/>
    </row>
    <row r="817" spans="9:15" ht="12.75">
      <c r="I817" s="37" t="s">
        <v>1505</v>
      </c>
      <c r="J817" s="55"/>
      <c r="K817" s="73">
        <v>1.6</v>
      </c>
      <c r="L817" s="7">
        <v>255</v>
      </c>
      <c r="M817" s="16">
        <f t="shared" si="47"/>
        <v>6.274509803921569</v>
      </c>
      <c r="N817" s="108"/>
      <c r="O817" s="88" t="s">
        <v>2266</v>
      </c>
    </row>
    <row r="818" spans="9:15" ht="12.75">
      <c r="I818" s="6"/>
      <c r="J818" s="55"/>
      <c r="K818" s="73"/>
      <c r="L818" s="7"/>
      <c r="M818" s="16"/>
      <c r="N818" s="108"/>
      <c r="O818" s="88"/>
    </row>
    <row r="819" spans="9:15" ht="12.75">
      <c r="I819" s="6" t="s">
        <v>1622</v>
      </c>
      <c r="J819" s="55"/>
      <c r="K819" s="73">
        <v>1</v>
      </c>
      <c r="L819" s="7">
        <v>454</v>
      </c>
      <c r="M819" s="16">
        <f>K819/L819*1000</f>
        <v>2.2026431718061676</v>
      </c>
      <c r="N819" s="108"/>
      <c r="O819" s="88" t="s">
        <v>2526</v>
      </c>
    </row>
    <row r="820" spans="9:15" ht="12.75">
      <c r="I820" s="6" t="s">
        <v>1092</v>
      </c>
      <c r="J820" s="55"/>
      <c r="K820" s="73">
        <v>0.9</v>
      </c>
      <c r="L820" s="7">
        <v>454</v>
      </c>
      <c r="M820" s="16">
        <f>K820/L820*1000</f>
        <v>1.9823788546255507</v>
      </c>
      <c r="N820" s="108"/>
      <c r="O820" s="88" t="s">
        <v>2526</v>
      </c>
    </row>
    <row r="821" spans="2:15" ht="12.75">
      <c r="B821" s="195">
        <v>2.9</v>
      </c>
      <c r="C821" s="195">
        <v>75.6</v>
      </c>
      <c r="D821" s="195">
        <v>0</v>
      </c>
      <c r="F821" s="198">
        <f>50*4.18</f>
        <v>209</v>
      </c>
      <c r="G821" s="195">
        <f>B821/F821*1000</f>
        <v>13.875598086124402</v>
      </c>
      <c r="I821" s="109" t="s">
        <v>1436</v>
      </c>
      <c r="J821" s="120"/>
      <c r="K821" s="12">
        <v>2.3</v>
      </c>
      <c r="L821" s="23">
        <v>500</v>
      </c>
      <c r="M821" s="22">
        <f>K821/L821*1000</f>
        <v>4.6</v>
      </c>
      <c r="N821" s="108"/>
      <c r="O821" s="88" t="s">
        <v>1244</v>
      </c>
    </row>
    <row r="822" spans="9:15" ht="12.75">
      <c r="I822" s="6"/>
      <c r="J822" s="55"/>
      <c r="K822" s="73"/>
      <c r="L822" s="7"/>
      <c r="M822" s="16"/>
      <c r="N822" s="108"/>
      <c r="O822" s="88"/>
    </row>
    <row r="823" spans="9:15" ht="12.75">
      <c r="I823" s="6"/>
      <c r="J823" s="55"/>
      <c r="K823" s="73"/>
      <c r="L823" s="7"/>
      <c r="M823" s="16"/>
      <c r="N823" s="108"/>
      <c r="O823" s="88"/>
    </row>
    <row r="824" spans="9:15" ht="12.75">
      <c r="I824" s="37"/>
      <c r="J824" s="55"/>
      <c r="K824" s="73"/>
      <c r="L824" s="7"/>
      <c r="M824" s="16"/>
      <c r="O824" s="88"/>
    </row>
    <row r="825" spans="9:15" ht="15.75">
      <c r="I825" s="52" t="s">
        <v>1261</v>
      </c>
      <c r="J825" s="55"/>
      <c r="K825" s="73"/>
      <c r="L825" s="7"/>
      <c r="M825" s="16"/>
      <c r="O825" s="88"/>
    </row>
    <row r="826" spans="9:15" ht="12.75">
      <c r="I826" s="6" t="s">
        <v>1704</v>
      </c>
      <c r="J826" s="55"/>
      <c r="K826" s="73">
        <v>1.79</v>
      </c>
      <c r="L826" s="7">
        <v>210</v>
      </c>
      <c r="M826" s="16">
        <f>K826/L826*1000</f>
        <v>8.523809523809524</v>
      </c>
      <c r="O826" s="88" t="s">
        <v>1142</v>
      </c>
    </row>
    <row r="827" spans="9:15" ht="15.75">
      <c r="I827" s="52" t="s">
        <v>1350</v>
      </c>
      <c r="J827" s="55"/>
      <c r="K827" s="73"/>
      <c r="L827" s="7"/>
      <c r="M827" s="16"/>
      <c r="O827" s="88"/>
    </row>
    <row r="828" spans="9:15" ht="12.75">
      <c r="I828" s="31" t="s">
        <v>1987</v>
      </c>
      <c r="J828" s="66"/>
      <c r="K828" s="95"/>
      <c r="L828" s="33"/>
      <c r="M828" s="32">
        <v>5</v>
      </c>
      <c r="O828" s="88" t="s">
        <v>1531</v>
      </c>
    </row>
    <row r="829" spans="9:15" ht="12.75">
      <c r="I829" s="31" t="s">
        <v>691</v>
      </c>
      <c r="J829" s="66"/>
      <c r="K829" s="95">
        <v>4.99</v>
      </c>
      <c r="L829" s="33">
        <v>500</v>
      </c>
      <c r="M829" s="5">
        <f>K829/L829*1000</f>
        <v>9.98</v>
      </c>
      <c r="O829" s="88" t="s">
        <v>2083</v>
      </c>
    </row>
    <row r="830" spans="9:15" ht="15.75">
      <c r="I830" s="52" t="s">
        <v>1958</v>
      </c>
      <c r="J830" s="55"/>
      <c r="K830" s="73"/>
      <c r="L830" s="7"/>
      <c r="M830" s="16"/>
      <c r="O830" s="88"/>
    </row>
    <row r="831" spans="9:15" ht="12.75">
      <c r="I831" s="31" t="s">
        <v>1987</v>
      </c>
      <c r="J831" s="66"/>
      <c r="K831" s="95"/>
      <c r="L831" s="33"/>
      <c r="M831" s="32">
        <v>4</v>
      </c>
      <c r="O831" s="88" t="s">
        <v>1531</v>
      </c>
    </row>
    <row r="832" spans="9:15" ht="12.75">
      <c r="I832" s="6" t="s">
        <v>1787</v>
      </c>
      <c r="J832" s="55"/>
      <c r="K832" s="73">
        <v>1.09</v>
      </c>
      <c r="L832" s="7">
        <v>250</v>
      </c>
      <c r="M832" s="16">
        <f>K832/L832*1000</f>
        <v>4.36</v>
      </c>
      <c r="O832" s="88" t="s">
        <v>1020</v>
      </c>
    </row>
    <row r="833" spans="9:15" ht="12.75">
      <c r="I833" s="6"/>
      <c r="J833" s="55"/>
      <c r="K833" s="73"/>
      <c r="L833" s="7"/>
      <c r="M833" s="16"/>
      <c r="O833" s="88"/>
    </row>
    <row r="834" spans="9:14" ht="15.75">
      <c r="I834" s="178" t="s">
        <v>499</v>
      </c>
      <c r="J834" s="61"/>
      <c r="K834" s="8"/>
      <c r="L834" t="s">
        <v>1107</v>
      </c>
      <c r="M834" s="5"/>
      <c r="N834" s="7"/>
    </row>
    <row r="835" spans="2:15" ht="15">
      <c r="B835" s="195">
        <v>0.6</v>
      </c>
      <c r="C835" s="195">
        <v>8.6</v>
      </c>
      <c r="D835" s="195">
        <v>0</v>
      </c>
      <c r="F835" s="198">
        <v>156</v>
      </c>
      <c r="G835" s="195">
        <f>B835/F835*1000</f>
        <v>3.846153846153846</v>
      </c>
      <c r="H835" s="1212">
        <f>M835/F835*100000</f>
        <v>3562.909958258796</v>
      </c>
      <c r="I835" s="40" t="s">
        <v>3024</v>
      </c>
      <c r="J835" s="61"/>
      <c r="K835" s="98">
        <v>2.39</v>
      </c>
      <c r="L835" s="42">
        <v>430</v>
      </c>
      <c r="M835" s="41">
        <f>K835/L835*1000</f>
        <v>5.558139534883722</v>
      </c>
      <c r="N835" s="94"/>
      <c r="O835" s="24" t="s">
        <v>2131</v>
      </c>
    </row>
    <row r="836" spans="2:15" ht="15">
      <c r="B836" s="195">
        <v>0.6</v>
      </c>
      <c r="C836" s="195">
        <v>8.6</v>
      </c>
      <c r="D836" s="195">
        <v>0</v>
      </c>
      <c r="F836" s="198">
        <v>156</v>
      </c>
      <c r="G836" s="195">
        <f>B836/F836*1000</f>
        <v>3.846153846153846</v>
      </c>
      <c r="H836" s="1212">
        <f>M836/F836*100000</f>
        <v>5155.7158119658125</v>
      </c>
      <c r="I836" s="37" t="s">
        <v>435</v>
      </c>
      <c r="J836" s="61">
        <v>1.99</v>
      </c>
      <c r="K836" s="95">
        <f>J836*0.97</f>
        <v>1.9303</v>
      </c>
      <c r="L836">
        <v>240</v>
      </c>
      <c r="M836" s="5">
        <f>K836/L836*1000</f>
        <v>8.042916666666667</v>
      </c>
      <c r="N836" s="94"/>
      <c r="O836" s="24" t="s">
        <v>1639</v>
      </c>
    </row>
    <row r="837" spans="2:15" ht="15">
      <c r="B837" s="195">
        <v>0.6</v>
      </c>
      <c r="C837" s="195">
        <v>8.6</v>
      </c>
      <c r="D837" s="195">
        <v>0</v>
      </c>
      <c r="F837" s="198">
        <v>156</v>
      </c>
      <c r="G837" s="195">
        <f>B837/F837*1000</f>
        <v>3.846153846153846</v>
      </c>
      <c r="H837" s="1212">
        <f>M837/F837*100000</f>
        <v>4179.039952295766</v>
      </c>
      <c r="I837" s="43" t="s">
        <v>1956</v>
      </c>
      <c r="J837" s="61">
        <v>2.89</v>
      </c>
      <c r="K837" s="95">
        <f>J837*0.97</f>
        <v>2.8033</v>
      </c>
      <c r="L837">
        <v>430</v>
      </c>
      <c r="M837" s="5">
        <f>K837/L837*1000</f>
        <v>6.519302325581395</v>
      </c>
      <c r="N837" s="94"/>
      <c r="O837" s="24" t="s">
        <v>1639</v>
      </c>
    </row>
    <row r="838" spans="2:15" ht="15">
      <c r="B838" s="195">
        <v>0.6</v>
      </c>
      <c r="C838" s="195">
        <v>8.6</v>
      </c>
      <c r="D838" s="195">
        <v>0</v>
      </c>
      <c r="F838" s="198">
        <v>156</v>
      </c>
      <c r="G838" s="195">
        <f>B838/F838*1000</f>
        <v>3.846153846153846</v>
      </c>
      <c r="H838" s="1212">
        <f>M838/F838*100000</f>
        <v>3264.7584973166367</v>
      </c>
      <c r="I838" s="40" t="s">
        <v>439</v>
      </c>
      <c r="J838" s="61"/>
      <c r="K838" s="8">
        <v>2.19</v>
      </c>
      <c r="L838">
        <v>430</v>
      </c>
      <c r="M838" s="5">
        <f>K838/L838*1000</f>
        <v>5.093023255813954</v>
      </c>
      <c r="N838" s="94"/>
      <c r="O838" s="24" t="s">
        <v>1639</v>
      </c>
    </row>
    <row r="839" spans="9:14" ht="12.75">
      <c r="I839" s="40"/>
      <c r="J839" s="61"/>
      <c r="K839" s="8"/>
      <c r="M839" s="5"/>
      <c r="N839" s="94"/>
    </row>
    <row r="840" spans="9:14" ht="12.75">
      <c r="I840" s="40"/>
      <c r="J840" s="61"/>
      <c r="K840" s="8"/>
      <c r="M840" s="5"/>
      <c r="N840" s="94"/>
    </row>
    <row r="841" spans="9:13" ht="15.75">
      <c r="I841" s="52" t="s">
        <v>425</v>
      </c>
      <c r="J841" s="61"/>
      <c r="K841" s="8"/>
      <c r="L841" t="s">
        <v>1107</v>
      </c>
      <c r="M841" s="5"/>
    </row>
    <row r="842" spans="2:15" ht="15">
      <c r="B842" s="195">
        <v>3.8</v>
      </c>
      <c r="C842" s="195">
        <v>13.1</v>
      </c>
      <c r="D842" s="195">
        <v>1.4</v>
      </c>
      <c r="F842" s="198">
        <v>338</v>
      </c>
      <c r="G842" s="195">
        <f>B842/F842*1000</f>
        <v>11.242603550295858</v>
      </c>
      <c r="H842" s="1212">
        <f>M842/F842*100000</f>
        <v>3019.2686997420724</v>
      </c>
      <c r="I842" s="205" t="s">
        <v>530</v>
      </c>
      <c r="J842" s="61"/>
      <c r="K842" s="8">
        <v>1.99</v>
      </c>
      <c r="L842">
        <v>195</v>
      </c>
      <c r="M842" s="5">
        <f aca="true" t="shared" si="48" ref="M842:M854">K842/L842*1000</f>
        <v>10.205128205128204</v>
      </c>
      <c r="N842" s="33" t="s">
        <v>2270</v>
      </c>
      <c r="O842" s="24" t="s">
        <v>1639</v>
      </c>
    </row>
    <row r="843" spans="2:15" ht="15">
      <c r="B843" s="195">
        <v>1.5</v>
      </c>
      <c r="C843" s="195">
        <v>5.2</v>
      </c>
      <c r="D843" s="195">
        <v>0</v>
      </c>
      <c r="F843" s="198">
        <v>114</v>
      </c>
      <c r="G843" s="195">
        <f>B843/F843*1000</f>
        <v>13.157894736842104</v>
      </c>
      <c r="H843" s="1212">
        <f>M843/F843*100000</f>
        <v>5517.082179132041</v>
      </c>
      <c r="I843" s="28" t="s">
        <v>1862</v>
      </c>
      <c r="J843" s="96"/>
      <c r="K843" s="111">
        <v>2.39</v>
      </c>
      <c r="L843" s="30">
        <v>380</v>
      </c>
      <c r="M843" s="29">
        <f t="shared" si="48"/>
        <v>6.289473684210527</v>
      </c>
      <c r="N843" s="33" t="s">
        <v>3130</v>
      </c>
      <c r="O843" s="24" t="s">
        <v>1038</v>
      </c>
    </row>
    <row r="844" spans="2:15" ht="15">
      <c r="B844" s="195">
        <v>1.5</v>
      </c>
      <c r="C844" s="195">
        <v>5.2</v>
      </c>
      <c r="D844" s="195">
        <v>0</v>
      </c>
      <c r="F844" s="198">
        <v>114</v>
      </c>
      <c r="G844" s="195">
        <f>B844/F844*1000</f>
        <v>13.157894736842104</v>
      </c>
      <c r="H844" s="1212">
        <f>M844/F844*100000</f>
        <v>5286.241920590951</v>
      </c>
      <c r="I844" s="21" t="s">
        <v>698</v>
      </c>
      <c r="J844" s="120"/>
      <c r="K844" s="12">
        <v>2.29</v>
      </c>
      <c r="L844" s="23">
        <v>380</v>
      </c>
      <c r="M844" s="22">
        <f t="shared" si="48"/>
        <v>6.026315789473684</v>
      </c>
      <c r="N844" s="94"/>
      <c r="O844" s="24" t="s">
        <v>1959</v>
      </c>
    </row>
    <row r="845" spans="2:15" ht="15">
      <c r="B845" s="195">
        <v>1.5</v>
      </c>
      <c r="C845" s="195">
        <v>5.2</v>
      </c>
      <c r="D845" s="195">
        <v>0</v>
      </c>
      <c r="F845" s="198">
        <v>114</v>
      </c>
      <c r="G845" s="195">
        <f>B845/F845*1000</f>
        <v>13.157894736842104</v>
      </c>
      <c r="H845" s="1212">
        <f>M845/F845*100000</f>
        <v>6252.81151596941</v>
      </c>
      <c r="I845" s="31" t="s">
        <v>1842</v>
      </c>
      <c r="J845" s="61"/>
      <c r="K845" s="8">
        <v>1.39</v>
      </c>
      <c r="L845">
        <v>195</v>
      </c>
      <c r="M845" s="5">
        <f>K845/L845*1000</f>
        <v>7.128205128205128</v>
      </c>
      <c r="N845" s="94"/>
      <c r="O845" s="24" t="s">
        <v>1304</v>
      </c>
    </row>
    <row r="846" spans="2:15" ht="15">
      <c r="B846" s="195">
        <v>1.5</v>
      </c>
      <c r="C846" s="195">
        <v>5.2</v>
      </c>
      <c r="D846" s="195">
        <v>0</v>
      </c>
      <c r="F846" s="198">
        <v>114</v>
      </c>
      <c r="G846" s="195">
        <f>B846/F846*1000</f>
        <v>13.157894736842104</v>
      </c>
      <c r="H846" s="1212">
        <f>M846/F846*100000</f>
        <v>5460.526315789474</v>
      </c>
      <c r="I846" s="40" t="s">
        <v>668</v>
      </c>
      <c r="J846" s="61">
        <v>2.49</v>
      </c>
      <c r="K846" s="8">
        <f>J846*0.9</f>
        <v>2.241</v>
      </c>
      <c r="L846">
        <v>360</v>
      </c>
      <c r="M846" s="5">
        <f t="shared" si="48"/>
        <v>6.2250000000000005</v>
      </c>
      <c r="N846" s="94"/>
      <c r="O846" s="716" t="s">
        <v>2120</v>
      </c>
    </row>
    <row r="847" spans="2:15" s="10" customFormat="1" ht="15">
      <c r="B847" s="218"/>
      <c r="C847" s="218"/>
      <c r="D847" s="218"/>
      <c r="E847" s="737"/>
      <c r="F847" s="219"/>
      <c r="G847" s="218"/>
      <c r="H847" s="218"/>
      <c r="I847" s="255" t="s">
        <v>1025</v>
      </c>
      <c r="J847" s="256">
        <v>1.89</v>
      </c>
      <c r="K847" s="257">
        <f>J847*0.97</f>
        <v>1.8333</v>
      </c>
      <c r="L847" s="627">
        <v>195</v>
      </c>
      <c r="M847" s="714">
        <f t="shared" si="48"/>
        <v>9.401538461538461</v>
      </c>
      <c r="N847" s="638" t="s">
        <v>667</v>
      </c>
      <c r="O847" s="224" t="s">
        <v>1724</v>
      </c>
    </row>
    <row r="848" spans="2:15" ht="12.75">
      <c r="B848" s="195">
        <v>1.6</v>
      </c>
      <c r="C848" s="195">
        <v>3.1</v>
      </c>
      <c r="D848" s="195">
        <v>0.2</v>
      </c>
      <c r="F848" s="198">
        <v>111</v>
      </c>
      <c r="G848" s="195">
        <f>B848/F848*1000</f>
        <v>14.414414414414415</v>
      </c>
      <c r="H848" s="1212">
        <f>M848/F848*100000</f>
        <v>6101.556101556102</v>
      </c>
      <c r="I848" s="86" t="s">
        <v>1847</v>
      </c>
      <c r="J848" s="38"/>
      <c r="K848" s="282">
        <v>1.49</v>
      </c>
      <c r="L848" s="37">
        <v>220</v>
      </c>
      <c r="M848" s="25">
        <f aca="true" t="shared" si="49" ref="M848:M853">K848/L848*1000</f>
        <v>6.7727272727272725</v>
      </c>
      <c r="N848" s="7"/>
      <c r="O848" s="1149" t="s">
        <v>1204</v>
      </c>
    </row>
    <row r="849" spans="2:15" ht="12.75">
      <c r="B849" s="195">
        <v>1.6</v>
      </c>
      <c r="C849" s="195">
        <v>3</v>
      </c>
      <c r="D849" s="195">
        <v>0.4</v>
      </c>
      <c r="F849" s="198">
        <v>108</v>
      </c>
      <c r="G849" s="195">
        <f>B849/F849*1000</f>
        <v>14.814814814814815</v>
      </c>
      <c r="H849" s="1212">
        <f>M849/F849*100000</f>
        <v>1992.753623188406</v>
      </c>
      <c r="I849" s="15" t="s">
        <v>237</v>
      </c>
      <c r="J849" s="55"/>
      <c r="K849" s="152">
        <v>0.99</v>
      </c>
      <c r="L849" s="6">
        <v>460</v>
      </c>
      <c r="M849" s="16">
        <f t="shared" si="49"/>
        <v>2.1521739130434785</v>
      </c>
      <c r="N849" s="7"/>
      <c r="O849" s="448" t="s">
        <v>3169</v>
      </c>
    </row>
    <row r="850" spans="2:15" ht="12.75">
      <c r="B850" s="195">
        <v>1.6</v>
      </c>
      <c r="C850" s="195">
        <v>3</v>
      </c>
      <c r="D850" s="195">
        <v>0.4</v>
      </c>
      <c r="F850" s="198">
        <v>108</v>
      </c>
      <c r="G850" s="195">
        <f>B850/F850*1000</f>
        <v>14.814814814814815</v>
      </c>
      <c r="H850" s="1212">
        <f>M850/F850*100000</f>
        <v>2999.1948470209336</v>
      </c>
      <c r="I850" s="147" t="s">
        <v>237</v>
      </c>
      <c r="J850" s="162"/>
      <c r="K850" s="684">
        <v>1.49</v>
      </c>
      <c r="L850" s="123">
        <v>460</v>
      </c>
      <c r="M850" s="148">
        <f t="shared" si="49"/>
        <v>3.2391304347826084</v>
      </c>
      <c r="N850" s="7"/>
      <c r="O850" s="448" t="s">
        <v>2514</v>
      </c>
    </row>
    <row r="851" spans="9:15" ht="12.75">
      <c r="I851" s="147" t="s">
        <v>237</v>
      </c>
      <c r="J851" s="162"/>
      <c r="K851" s="684">
        <v>0.95</v>
      </c>
      <c r="L851" s="123">
        <v>460</v>
      </c>
      <c r="M851" s="148">
        <f t="shared" si="49"/>
        <v>2.0652173913043477</v>
      </c>
      <c r="N851" s="7"/>
      <c r="O851" s="448" t="s">
        <v>293</v>
      </c>
    </row>
    <row r="852" spans="2:15" ht="12.75">
      <c r="B852" s="390">
        <v>1.4</v>
      </c>
      <c r="C852" s="390">
        <v>2</v>
      </c>
      <c r="D852" s="390">
        <v>0.4</v>
      </c>
      <c r="E852" s="1443"/>
      <c r="F852" s="389">
        <v>94</v>
      </c>
      <c r="G852" s="390">
        <f>B852/F852*1000</f>
        <v>14.893617021276595</v>
      </c>
      <c r="H852" s="1212">
        <f>M852/F852*100000</f>
        <v>3483.7502922609306</v>
      </c>
      <c r="I852" s="15" t="s">
        <v>2540</v>
      </c>
      <c r="J852" s="55"/>
      <c r="K852" s="152">
        <v>1.49</v>
      </c>
      <c r="L852" s="6">
        <v>455</v>
      </c>
      <c r="M852" s="16">
        <f t="shared" si="49"/>
        <v>3.2747252747252746</v>
      </c>
      <c r="N852" s="7"/>
      <c r="O852" s="716" t="s">
        <v>3169</v>
      </c>
    </row>
    <row r="853" spans="2:15" ht="12.75">
      <c r="B853" s="390">
        <v>1.4</v>
      </c>
      <c r="C853" s="390">
        <v>2</v>
      </c>
      <c r="D853" s="390">
        <v>0.4</v>
      </c>
      <c r="E853" s="1443"/>
      <c r="F853" s="389">
        <v>94</v>
      </c>
      <c r="G853" s="390">
        <f>B853/F853*1000</f>
        <v>14.893617021276595</v>
      </c>
      <c r="H853" s="1212">
        <f>M853/F853*100000</f>
        <v>2712.181435585691</v>
      </c>
      <c r="I853" s="1559" t="s">
        <v>2540</v>
      </c>
      <c r="J853" s="1560"/>
      <c r="K853" s="1561">
        <v>1.16</v>
      </c>
      <c r="L853" s="1562">
        <v>455</v>
      </c>
      <c r="M853" s="1563">
        <f t="shared" si="49"/>
        <v>2.5494505494505493</v>
      </c>
      <c r="N853" s="7"/>
      <c r="O853" s="125" t="s">
        <v>1586</v>
      </c>
    </row>
    <row r="854" spans="2:15" ht="12.75">
      <c r="B854" s="195">
        <v>1.4</v>
      </c>
      <c r="C854" s="195">
        <v>2</v>
      </c>
      <c r="D854" s="195">
        <v>0.4</v>
      </c>
      <c r="F854" s="198">
        <v>94</v>
      </c>
      <c r="G854" s="195">
        <f>B854/F854*1000</f>
        <v>14.893617021276595</v>
      </c>
      <c r="H854" s="1212">
        <f>M854/F854*100000</f>
        <v>2221.1830722469017</v>
      </c>
      <c r="I854" s="147" t="s">
        <v>2540</v>
      </c>
      <c r="J854" s="162"/>
      <c r="K854" s="684">
        <v>0.95</v>
      </c>
      <c r="L854" s="123">
        <v>455</v>
      </c>
      <c r="M854" s="148">
        <f t="shared" si="48"/>
        <v>2.0879120879120876</v>
      </c>
      <c r="N854" s="7"/>
      <c r="O854" s="125" t="s">
        <v>2634</v>
      </c>
    </row>
    <row r="855" spans="2:15" ht="12.75">
      <c r="B855" s="195">
        <v>1.4</v>
      </c>
      <c r="C855" s="195">
        <v>2</v>
      </c>
      <c r="D855" s="195">
        <v>0.4</v>
      </c>
      <c r="F855" s="198">
        <v>94</v>
      </c>
      <c r="G855" s="195">
        <f>B855/F855*1000</f>
        <v>14.893617021276595</v>
      </c>
      <c r="H855" s="1212">
        <f>M855/F855*100000</f>
        <v>1963.9934533551555</v>
      </c>
      <c r="I855" s="109" t="s">
        <v>2540</v>
      </c>
      <c r="J855" s="120"/>
      <c r="K855" s="924">
        <v>0.84</v>
      </c>
      <c r="L855" s="21">
        <v>455</v>
      </c>
      <c r="M855" s="22">
        <f>K855/L855*1000</f>
        <v>1.846153846153846</v>
      </c>
      <c r="N855" s="7"/>
      <c r="O855" s="125" t="s">
        <v>2463</v>
      </c>
    </row>
    <row r="856" spans="9:15" ht="12.75">
      <c r="I856" s="37" t="s">
        <v>651</v>
      </c>
      <c r="J856" s="61"/>
      <c r="K856" s="55">
        <v>0.99</v>
      </c>
      <c r="L856" s="6">
        <v>460</v>
      </c>
      <c r="M856" s="16">
        <f>K856/L856*1000</f>
        <v>2.1521739130434785</v>
      </c>
      <c r="N856" s="7"/>
      <c r="O856" s="716" t="s">
        <v>10</v>
      </c>
    </row>
    <row r="857" spans="9:14" ht="12.75">
      <c r="I857" s="123"/>
      <c r="J857" s="162"/>
      <c r="K857" s="162"/>
      <c r="L857" s="123"/>
      <c r="M857" s="148"/>
      <c r="N857" s="7"/>
    </row>
    <row r="858" spans="9:13" ht="15.75">
      <c r="I858" s="178" t="s">
        <v>1449</v>
      </c>
      <c r="J858" s="61"/>
      <c r="K858" s="8"/>
      <c r="L858" t="s">
        <v>1107</v>
      </c>
      <c r="M858" s="5"/>
    </row>
    <row r="859" spans="1:15" ht="12.75">
      <c r="A859" s="349"/>
      <c r="B859" s="611">
        <v>3</v>
      </c>
      <c r="C859" s="611">
        <v>12</v>
      </c>
      <c r="D859" s="611">
        <v>1.7</v>
      </c>
      <c r="E859" s="751"/>
      <c r="F859" s="612">
        <v>345</v>
      </c>
      <c r="G859" s="611">
        <f>B859/F859*1000</f>
        <v>8.695652173913043</v>
      </c>
      <c r="H859" s="1212">
        <f>M859/F859*100000</f>
        <v>528.8583778286295</v>
      </c>
      <c r="I859" s="378" t="s">
        <v>2890</v>
      </c>
      <c r="J859" s="379"/>
      <c r="K859" s="573">
        <v>0.52</v>
      </c>
      <c r="L859" s="349">
        <v>285</v>
      </c>
      <c r="M859" s="348">
        <f>K859/L859*1000</f>
        <v>1.8245614035087718</v>
      </c>
      <c r="N859" s="94"/>
      <c r="O859" s="24" t="s">
        <v>3121</v>
      </c>
    </row>
    <row r="860" spans="2:15" ht="12.75">
      <c r="B860" s="195">
        <v>3.1</v>
      </c>
      <c r="C860" s="195">
        <v>12.6</v>
      </c>
      <c r="D860" s="195">
        <v>1.2</v>
      </c>
      <c r="F860" s="198">
        <v>311</v>
      </c>
      <c r="G860" s="195">
        <f>B860/F860*1000</f>
        <v>9.967845659163986</v>
      </c>
      <c r="H860" s="1212">
        <f>M860/F860*100000</f>
        <v>3785.4428529669685</v>
      </c>
      <c r="I860" s="31" t="s">
        <v>3021</v>
      </c>
      <c r="J860" s="61"/>
      <c r="K860" s="8">
        <v>2.59</v>
      </c>
      <c r="L860">
        <v>220</v>
      </c>
      <c r="M860" s="5">
        <f>K860/L860*1000</f>
        <v>11.772727272727272</v>
      </c>
      <c r="N860" s="94"/>
      <c r="O860" s="24" t="s">
        <v>1246</v>
      </c>
    </row>
    <row r="861" spans="9:13" ht="15.75">
      <c r="I861" s="52" t="s">
        <v>716</v>
      </c>
      <c r="J861" s="61"/>
      <c r="K861" s="8"/>
      <c r="L861" t="s">
        <v>1107</v>
      </c>
      <c r="M861" s="5"/>
    </row>
    <row r="862" spans="9:15" ht="15">
      <c r="I862" s="208" t="s">
        <v>954</v>
      </c>
      <c r="J862" s="61"/>
      <c r="K862" s="8">
        <v>2.59</v>
      </c>
      <c r="L862">
        <v>420</v>
      </c>
      <c r="M862" s="5">
        <f>K862/L862*1000</f>
        <v>6.166666666666667</v>
      </c>
      <c r="N862" s="94"/>
      <c r="O862" s="24" t="s">
        <v>1320</v>
      </c>
    </row>
    <row r="863" spans="9:14" ht="12.75">
      <c r="I863" s="208"/>
      <c r="J863" s="61"/>
      <c r="K863" s="8"/>
      <c r="M863" s="5"/>
      <c r="N863" s="94"/>
    </row>
    <row r="864" spans="9:14" ht="18">
      <c r="I864" s="355" t="s">
        <v>1931</v>
      </c>
      <c r="J864" s="61"/>
      <c r="K864" s="8"/>
      <c r="L864" t="s">
        <v>1107</v>
      </c>
      <c r="M864" s="5"/>
      <c r="N864" s="94"/>
    </row>
    <row r="865" spans="2:15" s="3" customFormat="1" ht="12.75">
      <c r="B865" s="196"/>
      <c r="C865" s="196"/>
      <c r="D865" s="195"/>
      <c r="E865" s="739"/>
      <c r="F865" s="199"/>
      <c r="G865" s="196"/>
      <c r="H865" s="196"/>
      <c r="I865" s="728" t="s">
        <v>3167</v>
      </c>
      <c r="J865" s="602"/>
      <c r="K865" s="1536">
        <v>1.69</v>
      </c>
      <c r="L865" s="640">
        <v>240</v>
      </c>
      <c r="M865" s="1535">
        <f aca="true" t="shared" si="50" ref="M865:M874">K865/L865*1000</f>
        <v>7.041666666666667</v>
      </c>
      <c r="N865" s="1066"/>
      <c r="O865" s="88" t="s">
        <v>3154</v>
      </c>
    </row>
    <row r="866" spans="2:15" s="3" customFormat="1" ht="12.75">
      <c r="B866" s="196"/>
      <c r="C866" s="196"/>
      <c r="D866" s="195"/>
      <c r="E866" s="739"/>
      <c r="F866" s="199"/>
      <c r="G866" s="196"/>
      <c r="H866" s="196"/>
      <c r="I866" s="728" t="s">
        <v>3166</v>
      </c>
      <c r="J866" s="602">
        <f>K866/12</f>
        <v>1.2841666666666667</v>
      </c>
      <c r="K866" s="98">
        <v>15.41</v>
      </c>
      <c r="L866" s="640">
        <f>12*400</f>
        <v>4800</v>
      </c>
      <c r="M866" s="98">
        <f t="shared" si="50"/>
        <v>3.2104166666666667</v>
      </c>
      <c r="N866" s="1066"/>
      <c r="O866" s="716" t="s">
        <v>3154</v>
      </c>
    </row>
    <row r="867" spans="2:15" ht="12.75">
      <c r="B867" s="195">
        <v>7.5</v>
      </c>
      <c r="C867" s="195">
        <v>15</v>
      </c>
      <c r="D867" s="195">
        <v>0.5</v>
      </c>
      <c r="F867" s="198">
        <v>413</v>
      </c>
      <c r="G867" s="195">
        <f>B867/F867*1000</f>
        <v>18.159806295399516</v>
      </c>
      <c r="H867" s="1212">
        <f>M867/F867*100000</f>
        <v>406.5969208278131</v>
      </c>
      <c r="I867" s="15" t="s">
        <v>972</v>
      </c>
      <c r="J867" s="55"/>
      <c r="K867" s="73">
        <v>0.89</v>
      </c>
      <c r="L867" s="7">
        <v>530</v>
      </c>
      <c r="M867" s="16">
        <f>K867/L867*1000</f>
        <v>1.679245283018868</v>
      </c>
      <c r="N867" s="94"/>
      <c r="O867" s="24" t="s">
        <v>2384</v>
      </c>
    </row>
    <row r="868" spans="2:15" ht="12.75">
      <c r="B868" s="195">
        <v>6.8</v>
      </c>
      <c r="C868" s="195">
        <v>12</v>
      </c>
      <c r="D868" s="195">
        <v>0.5</v>
      </c>
      <c r="F868" s="198">
        <v>373</v>
      </c>
      <c r="G868" s="195">
        <f aca="true" t="shared" si="51" ref="G868:G874">B868/F868*1000</f>
        <v>18.230563002680963</v>
      </c>
      <c r="H868" s="1212">
        <f>M868/F868*100000</f>
        <v>349.0313116495523</v>
      </c>
      <c r="I868" s="6" t="s">
        <v>1194</v>
      </c>
      <c r="J868" s="55"/>
      <c r="K868" s="73">
        <v>0.69</v>
      </c>
      <c r="L868" s="7">
        <v>530</v>
      </c>
      <c r="M868" s="16">
        <f t="shared" si="50"/>
        <v>1.3018867924528301</v>
      </c>
      <c r="N868" s="94"/>
      <c r="O868" s="24" t="s">
        <v>2455</v>
      </c>
    </row>
    <row r="869" spans="2:15" ht="12.75">
      <c r="B869" s="195">
        <v>6.3</v>
      </c>
      <c r="C869" s="195">
        <v>12</v>
      </c>
      <c r="D869" s="195">
        <v>0.5</v>
      </c>
      <c r="F869" s="198">
        <v>355</v>
      </c>
      <c r="G869" s="195">
        <f t="shared" si="51"/>
        <v>17.746478873239436</v>
      </c>
      <c r="H869" s="1212">
        <f>M869/F869*100000</f>
        <v>366.72867393037467</v>
      </c>
      <c r="I869" s="6" t="s">
        <v>1195</v>
      </c>
      <c r="J869" s="55"/>
      <c r="K869" s="73">
        <v>0.69</v>
      </c>
      <c r="L869" s="7">
        <v>530</v>
      </c>
      <c r="M869" s="16">
        <f t="shared" si="50"/>
        <v>1.3018867924528301</v>
      </c>
      <c r="N869" s="94"/>
      <c r="O869" s="716" t="s">
        <v>2455</v>
      </c>
    </row>
    <row r="870" spans="2:15" s="3" customFormat="1" ht="12.75">
      <c r="B870" s="196">
        <v>6.7</v>
      </c>
      <c r="C870" s="196">
        <v>14.6</v>
      </c>
      <c r="D870" s="195">
        <v>0.5</v>
      </c>
      <c r="E870" s="739"/>
      <c r="F870" s="199">
        <v>376</v>
      </c>
      <c r="G870" s="196">
        <f t="shared" si="51"/>
        <v>17.819148936170215</v>
      </c>
      <c r="H870" s="196"/>
      <c r="I870" s="728" t="s">
        <v>2603</v>
      </c>
      <c r="J870" s="602"/>
      <c r="K870" s="98">
        <v>1.09</v>
      </c>
      <c r="L870" s="640">
        <v>240</v>
      </c>
      <c r="M870" s="1535">
        <f t="shared" si="50"/>
        <v>4.541666666666667</v>
      </c>
      <c r="N870" s="1066"/>
      <c r="O870" s="50" t="s">
        <v>458</v>
      </c>
    </row>
    <row r="871" spans="2:15" s="10" customFormat="1" ht="12.75">
      <c r="B871" s="218">
        <v>6.7</v>
      </c>
      <c r="C871" s="218">
        <v>14.6</v>
      </c>
      <c r="D871" s="195">
        <v>0.5</v>
      </c>
      <c r="E871" s="740"/>
      <c r="F871" s="219">
        <v>376</v>
      </c>
      <c r="G871" s="218">
        <f t="shared" si="51"/>
        <v>17.819148936170215</v>
      </c>
      <c r="H871" s="218"/>
      <c r="I871" s="688" t="s">
        <v>2603</v>
      </c>
      <c r="J871" s="374"/>
      <c r="K871" s="375">
        <v>0.99</v>
      </c>
      <c r="L871" s="376">
        <v>240</v>
      </c>
      <c r="M871" s="375">
        <f t="shared" si="50"/>
        <v>4.125</v>
      </c>
      <c r="N871" s="637"/>
      <c r="O871" s="88" t="s">
        <v>1145</v>
      </c>
    </row>
    <row r="872" spans="2:15" s="3" customFormat="1" ht="12.75">
      <c r="B872" s="196">
        <v>4.05</v>
      </c>
      <c r="C872" s="196">
        <v>9.99</v>
      </c>
      <c r="D872" s="196">
        <v>0.56</v>
      </c>
      <c r="E872" s="738"/>
      <c r="F872" s="199">
        <v>244</v>
      </c>
      <c r="G872" s="195">
        <f t="shared" si="51"/>
        <v>16.598360655737704</v>
      </c>
      <c r="H872" s="195"/>
      <c r="I872" s="610" t="s">
        <v>376</v>
      </c>
      <c r="J872" s="602"/>
      <c r="K872" s="95">
        <v>0.49</v>
      </c>
      <c r="L872" s="724">
        <v>240</v>
      </c>
      <c r="M872" s="8">
        <f t="shared" si="50"/>
        <v>2.0416666666666665</v>
      </c>
      <c r="N872" s="698"/>
      <c r="O872" s="50" t="s">
        <v>2054</v>
      </c>
    </row>
    <row r="873" spans="2:15" ht="12.75">
      <c r="B873" s="195">
        <v>6</v>
      </c>
      <c r="C873" s="195">
        <v>11.3</v>
      </c>
      <c r="D873" s="195">
        <v>0.2</v>
      </c>
      <c r="F873" s="198">
        <v>301</v>
      </c>
      <c r="G873" s="195">
        <f t="shared" si="51"/>
        <v>19.933554817275745</v>
      </c>
      <c r="I873" s="147" t="s">
        <v>822</v>
      </c>
      <c r="J873" s="162"/>
      <c r="K873" s="191">
        <v>0.69</v>
      </c>
      <c r="L873" s="149">
        <v>530</v>
      </c>
      <c r="M873" s="148">
        <f t="shared" si="50"/>
        <v>1.3018867924528301</v>
      </c>
      <c r="N873" s="94"/>
      <c r="O873" s="24" t="s">
        <v>1646</v>
      </c>
    </row>
    <row r="874" spans="2:15" ht="12.75">
      <c r="B874" s="195">
        <v>4.9</v>
      </c>
      <c r="C874" s="195">
        <v>9.1</v>
      </c>
      <c r="D874" s="195">
        <v>0.3</v>
      </c>
      <c r="F874" s="198">
        <v>284</v>
      </c>
      <c r="G874" s="195">
        <f t="shared" si="51"/>
        <v>17.253521126760564</v>
      </c>
      <c r="I874" s="147" t="s">
        <v>2104</v>
      </c>
      <c r="J874" s="162"/>
      <c r="K874" s="191">
        <v>0.69</v>
      </c>
      <c r="L874" s="149">
        <v>530</v>
      </c>
      <c r="M874" s="148">
        <f t="shared" si="50"/>
        <v>1.3018867924528301</v>
      </c>
      <c r="N874" s="94"/>
      <c r="O874" s="24" t="s">
        <v>942</v>
      </c>
    </row>
    <row r="875" spans="9:14" ht="12.75">
      <c r="I875" s="147"/>
      <c r="J875" s="162"/>
      <c r="K875" s="191"/>
      <c r="L875" s="149"/>
      <c r="M875" s="148"/>
      <c r="N875" s="94"/>
    </row>
    <row r="876" spans="9:14" ht="12.75">
      <c r="I876" s="147"/>
      <c r="J876" s="162"/>
      <c r="K876" s="191"/>
      <c r="L876" s="149"/>
      <c r="M876" s="148"/>
      <c r="N876" s="94"/>
    </row>
    <row r="877" spans="9:14" ht="12.75">
      <c r="I877" s="147"/>
      <c r="J877" s="162"/>
      <c r="K877" s="191"/>
      <c r="L877" s="149"/>
      <c r="M877" s="148"/>
      <c r="N877" s="94"/>
    </row>
    <row r="878" spans="9:14" ht="15.75">
      <c r="I878" s="248" t="s">
        <v>2564</v>
      </c>
      <c r="J878" s="162"/>
      <c r="K878" s="191"/>
      <c r="L878" s="149"/>
      <c r="M878" s="148"/>
      <c r="N878" s="33" t="s">
        <v>792</v>
      </c>
    </row>
    <row r="879" spans="2:15" s="522" customFormat="1" ht="12.75">
      <c r="B879" s="196"/>
      <c r="C879" s="196"/>
      <c r="D879" s="196"/>
      <c r="E879" s="738"/>
      <c r="F879" s="199"/>
      <c r="G879" s="196"/>
      <c r="H879" s="1212"/>
      <c r="I879" s="1152" t="s">
        <v>791</v>
      </c>
      <c r="J879" s="666"/>
      <c r="K879" s="501">
        <v>1.69</v>
      </c>
      <c r="L879" s="667">
        <v>240</v>
      </c>
      <c r="M879" s="501">
        <f>K879/L879*1000</f>
        <v>7.041666666666667</v>
      </c>
      <c r="N879" s="1020"/>
      <c r="O879" s="669" t="s">
        <v>43</v>
      </c>
    </row>
    <row r="880" spans="2:15" s="522" customFormat="1" ht="12.75">
      <c r="B880" s="196"/>
      <c r="C880" s="196"/>
      <c r="D880" s="196"/>
      <c r="E880" s="738"/>
      <c r="F880" s="199"/>
      <c r="G880" s="196"/>
      <c r="H880" s="1212"/>
      <c r="I880" s="1417" t="s">
        <v>2565</v>
      </c>
      <c r="J880" s="572"/>
      <c r="K880" s="573">
        <v>13.99</v>
      </c>
      <c r="L880" s="1031">
        <v>3000</v>
      </c>
      <c r="M880" s="573">
        <f>K880/L880*1000</f>
        <v>4.663333333333334</v>
      </c>
      <c r="N880" s="573">
        <f>M880/2</f>
        <v>2.331666666666667</v>
      </c>
      <c r="O880" s="669" t="s">
        <v>1769</v>
      </c>
    </row>
    <row r="881" spans="9:15" ht="12.75">
      <c r="I881" s="209" t="s">
        <v>1180</v>
      </c>
      <c r="J881" s="61"/>
      <c r="K881" s="8">
        <v>16.49</v>
      </c>
      <c r="L881">
        <v>2500</v>
      </c>
      <c r="M881" s="501">
        <f>K881/L881*1000</f>
        <v>6.595999999999999</v>
      </c>
      <c r="N881" s="501">
        <f>M881/2</f>
        <v>3.2979999999999996</v>
      </c>
      <c r="O881" s="722" t="s">
        <v>1769</v>
      </c>
    </row>
    <row r="882" spans="9:15" ht="12.75">
      <c r="I882" s="97" t="s">
        <v>3123</v>
      </c>
      <c r="J882" s="61"/>
      <c r="K882" s="8">
        <v>11.96</v>
      </c>
      <c r="L882">
        <v>2000</v>
      </c>
      <c r="M882" s="501">
        <f>K882/L882*1000</f>
        <v>5.98</v>
      </c>
      <c r="N882" s="501">
        <f>M882/2</f>
        <v>2.99</v>
      </c>
      <c r="O882" s="722" t="s">
        <v>2634</v>
      </c>
    </row>
    <row r="883" spans="9:14" ht="12.75">
      <c r="I883" s="208"/>
      <c r="J883" s="61"/>
      <c r="K883" s="8"/>
      <c r="M883" s="5"/>
      <c r="N883" s="94"/>
    </row>
    <row r="884" spans="9:14" ht="18">
      <c r="I884" s="355" t="s">
        <v>2677</v>
      </c>
      <c r="J884" s="61"/>
      <c r="K884" s="8"/>
      <c r="M884" s="5"/>
      <c r="N884" s="94"/>
    </row>
    <row r="885" spans="2:15" s="522" customFormat="1" ht="12.75">
      <c r="B885" s="196"/>
      <c r="C885" s="196"/>
      <c r="D885" s="196"/>
      <c r="E885" s="738"/>
      <c r="F885" s="199"/>
      <c r="G885" s="196"/>
      <c r="H885" s="1212"/>
      <c r="I885" s="1152" t="s">
        <v>790</v>
      </c>
      <c r="J885" s="666"/>
      <c r="K885" s="501">
        <v>1.69</v>
      </c>
      <c r="L885" s="667">
        <v>240</v>
      </c>
      <c r="M885" s="501">
        <f>K885/L885*1000</f>
        <v>7.041666666666667</v>
      </c>
      <c r="N885" s="1020"/>
      <c r="O885" s="669" t="s">
        <v>43</v>
      </c>
    </row>
    <row r="886" spans="2:15" s="522" customFormat="1" ht="12.75">
      <c r="B886" s="196">
        <v>8.2</v>
      </c>
      <c r="C886" s="196">
        <v>12</v>
      </c>
      <c r="D886" s="196">
        <v>0.9</v>
      </c>
      <c r="E886" s="738"/>
      <c r="F886" s="199">
        <v>426</v>
      </c>
      <c r="G886" s="196">
        <f>B886/F886*1000</f>
        <v>19.24882629107981</v>
      </c>
      <c r="H886" s="1212">
        <f>M886/F886*100000</f>
        <v>624.3479394887846</v>
      </c>
      <c r="I886" s="1152" t="s">
        <v>1883</v>
      </c>
      <c r="J886" s="666"/>
      <c r="K886" s="501">
        <v>7.66</v>
      </c>
      <c r="L886" s="667">
        <f>12*240</f>
        <v>2880</v>
      </c>
      <c r="M886" s="430">
        <f>K886/L886*1000</f>
        <v>2.6597222222222223</v>
      </c>
      <c r="N886" s="1020"/>
      <c r="O886" s="669" t="s">
        <v>956</v>
      </c>
    </row>
    <row r="887" spans="2:15" s="522" customFormat="1" ht="12.75">
      <c r="B887" s="196">
        <v>6</v>
      </c>
      <c r="C887" s="196">
        <v>12.5</v>
      </c>
      <c r="D887" s="196">
        <v>0.8</v>
      </c>
      <c r="E887" s="738"/>
      <c r="F887" s="199">
        <v>355</v>
      </c>
      <c r="G887" s="196">
        <f>B887/F887*1000</f>
        <v>16.901408450704224</v>
      </c>
      <c r="H887" s="1212">
        <f>M887/F887*100000</f>
        <v>1279.342723004695</v>
      </c>
      <c r="I887" s="1459" t="s">
        <v>498</v>
      </c>
      <c r="J887" s="952"/>
      <c r="K887" s="953">
        <v>1.09</v>
      </c>
      <c r="L887" s="954">
        <v>240</v>
      </c>
      <c r="M887" s="953">
        <f>K887/L887*1000</f>
        <v>4.541666666666667</v>
      </c>
      <c r="N887" s="1020"/>
      <c r="O887" s="669" t="s">
        <v>1489</v>
      </c>
    </row>
    <row r="888" spans="1:15" s="3" customFormat="1" ht="18">
      <c r="A888"/>
      <c r="B888" s="195"/>
      <c r="C888" s="195"/>
      <c r="D888" s="195"/>
      <c r="E888" s="732"/>
      <c r="F888" s="198"/>
      <c r="G888" s="195"/>
      <c r="H888" s="195"/>
      <c r="I888" s="355" t="s">
        <v>3132</v>
      </c>
      <c r="J888" s="61"/>
      <c r="K888" s="8"/>
      <c r="L888" t="s">
        <v>1107</v>
      </c>
      <c r="M888" s="5"/>
      <c r="N888" s="94"/>
      <c r="O888" s="24"/>
    </row>
    <row r="889" spans="2:15" s="3" customFormat="1" ht="12.75">
      <c r="B889" s="196">
        <v>7.2</v>
      </c>
      <c r="C889" s="196">
        <v>14.9</v>
      </c>
      <c r="D889" s="196">
        <v>2.3</v>
      </c>
      <c r="E889" s="738"/>
      <c r="F889" s="199">
        <v>521</v>
      </c>
      <c r="G889" s="195">
        <f>B889/F889*1000</f>
        <v>13.819577735124762</v>
      </c>
      <c r="H889" s="1212">
        <f>M889/F889*100000</f>
        <v>1027.6711452335253</v>
      </c>
      <c r="I889" s="728" t="s">
        <v>3158</v>
      </c>
      <c r="J889" s="602">
        <f>K889/12</f>
        <v>1.285</v>
      </c>
      <c r="K889" s="961">
        <v>15.42</v>
      </c>
      <c r="L889" s="1395">
        <f>240*12</f>
        <v>2880</v>
      </c>
      <c r="M889" s="961">
        <f aca="true" t="shared" si="52" ref="M889:M894">K889/L889*1000</f>
        <v>5.354166666666667</v>
      </c>
      <c r="N889" s="698"/>
      <c r="O889" s="669" t="s">
        <v>3154</v>
      </c>
    </row>
    <row r="890" spans="2:15" s="3" customFormat="1" ht="12.75">
      <c r="B890" s="196">
        <v>7.6</v>
      </c>
      <c r="C890" s="196">
        <v>25</v>
      </c>
      <c r="D890" s="196">
        <v>2</v>
      </c>
      <c r="E890" s="738"/>
      <c r="F890" s="199">
        <v>687</v>
      </c>
      <c r="G890" s="195">
        <f>B890/F890*1000</f>
        <v>11.06259097525473</v>
      </c>
      <c r="H890" s="1212">
        <f>M890/F890*100000</f>
        <v>933.5071971534854</v>
      </c>
      <c r="I890" s="340" t="s">
        <v>2891</v>
      </c>
      <c r="J890" s="602">
        <f>K890/12</f>
        <v>1.5391666666666666</v>
      </c>
      <c r="K890" s="98">
        <v>18.47</v>
      </c>
      <c r="L890" s="640">
        <f>12*240</f>
        <v>2880</v>
      </c>
      <c r="M890" s="98">
        <f t="shared" si="52"/>
        <v>6.413194444444445</v>
      </c>
      <c r="N890" s="698"/>
      <c r="O890" s="669" t="s">
        <v>3121</v>
      </c>
    </row>
    <row r="891" spans="2:15" s="3" customFormat="1" ht="12.75">
      <c r="B891" s="196">
        <v>7.6</v>
      </c>
      <c r="C891" s="196">
        <v>25</v>
      </c>
      <c r="D891" s="196">
        <v>2</v>
      </c>
      <c r="E891" s="738"/>
      <c r="F891" s="199">
        <v>687</v>
      </c>
      <c r="G891" s="195">
        <f>B891/F891*1000</f>
        <v>11.06259097525473</v>
      </c>
      <c r="H891" s="1212">
        <f>M891/F891*100000</f>
        <v>617.1154779233383</v>
      </c>
      <c r="I891" s="1460" t="s">
        <v>2891</v>
      </c>
      <c r="J891" s="1461"/>
      <c r="K891" s="1524">
        <v>12.21</v>
      </c>
      <c r="L891" s="1525">
        <f>12*240</f>
        <v>2880</v>
      </c>
      <c r="M891" s="1524">
        <f t="shared" si="52"/>
        <v>4.239583333333334</v>
      </c>
      <c r="N891" s="698"/>
      <c r="O891" s="669" t="s">
        <v>3121</v>
      </c>
    </row>
    <row r="892" spans="8:15" ht="12.75">
      <c r="H892" s="1212"/>
      <c r="I892" s="37" t="s">
        <v>3155</v>
      </c>
      <c r="J892" s="38"/>
      <c r="K892" s="38">
        <v>1.99</v>
      </c>
      <c r="L892" s="1517">
        <v>240</v>
      </c>
      <c r="M892" s="25">
        <f t="shared" si="52"/>
        <v>8.291666666666666</v>
      </c>
      <c r="N892" s="94"/>
      <c r="O892" s="716" t="s">
        <v>3154</v>
      </c>
    </row>
    <row r="893" spans="8:15" ht="12.75">
      <c r="H893" s="1212"/>
      <c r="I893" s="37" t="s">
        <v>2247</v>
      </c>
      <c r="J893" s="38"/>
      <c r="K893" s="38">
        <v>20.72</v>
      </c>
      <c r="L893" s="56">
        <v>4800</v>
      </c>
      <c r="M893" s="25">
        <f t="shared" si="52"/>
        <v>4.316666666666666</v>
      </c>
      <c r="N893" s="94"/>
      <c r="O893" s="716" t="s">
        <v>175</v>
      </c>
    </row>
    <row r="894" spans="8:15" ht="13.5" thickBot="1">
      <c r="H894" s="1212"/>
      <c r="I894" s="37" t="s">
        <v>2246</v>
      </c>
      <c r="J894" s="38"/>
      <c r="K894" s="38">
        <v>9.01</v>
      </c>
      <c r="L894" s="37">
        <v>1600</v>
      </c>
      <c r="M894" s="25">
        <f t="shared" si="52"/>
        <v>5.63125</v>
      </c>
      <c r="N894" s="94"/>
      <c r="O894" s="716" t="s">
        <v>175</v>
      </c>
    </row>
    <row r="895" spans="2:15" ht="12.75">
      <c r="B895" s="195">
        <v>4.3</v>
      </c>
      <c r="C895" s="195">
        <v>8.6</v>
      </c>
      <c r="D895" s="195">
        <v>1.3</v>
      </c>
      <c r="F895" s="1281">
        <v>303</v>
      </c>
      <c r="G895" s="195">
        <f aca="true" t="shared" si="53" ref="G895:G900">B895/F895*1000</f>
        <v>14.19141914191419</v>
      </c>
      <c r="H895" s="1212">
        <f>M895/F895*100000</f>
        <v>818.2068206820682</v>
      </c>
      <c r="I895" s="6" t="s">
        <v>2245</v>
      </c>
      <c r="J895" s="61"/>
      <c r="K895" s="55">
        <v>1.19</v>
      </c>
      <c r="L895" s="6">
        <v>480</v>
      </c>
      <c r="M895" s="16">
        <f aca="true" t="shared" si="54" ref="M895:M900">K895/L895*1000</f>
        <v>2.4791666666666665</v>
      </c>
      <c r="N895" s="94"/>
      <c r="O895" s="24" t="s">
        <v>175</v>
      </c>
    </row>
    <row r="896" spans="2:15" ht="13.5" thickBot="1">
      <c r="B896" s="195">
        <v>7.2</v>
      </c>
      <c r="C896" s="195">
        <v>14</v>
      </c>
      <c r="D896" s="195">
        <v>2.5</v>
      </c>
      <c r="F896" s="1282">
        <v>507</v>
      </c>
      <c r="G896" s="195">
        <f t="shared" si="53"/>
        <v>14.201183431952664</v>
      </c>
      <c r="H896" s="1212">
        <f>M896/F896*100000</f>
        <v>468.44181459566073</v>
      </c>
      <c r="I896" s="6" t="s">
        <v>2674</v>
      </c>
      <c r="J896" s="61"/>
      <c r="K896" s="55">
        <v>0.57</v>
      </c>
      <c r="L896" s="6">
        <v>240</v>
      </c>
      <c r="M896" s="16">
        <f t="shared" si="54"/>
        <v>2.375</v>
      </c>
      <c r="N896" s="94"/>
      <c r="O896" s="24" t="s">
        <v>1480</v>
      </c>
    </row>
    <row r="897" spans="2:15" ht="13.5" thickBot="1">
      <c r="B897" s="195">
        <v>4.3</v>
      </c>
      <c r="C897" s="195">
        <v>8.6</v>
      </c>
      <c r="D897" s="195">
        <v>1.3</v>
      </c>
      <c r="F897" s="198">
        <v>303</v>
      </c>
      <c r="G897" s="195">
        <f t="shared" si="53"/>
        <v>14.19141914191419</v>
      </c>
      <c r="H897" s="1212">
        <f>M897/F897*100000</f>
        <v>790.7040704070407</v>
      </c>
      <c r="I897" s="1155" t="s">
        <v>872</v>
      </c>
      <c r="J897" s="61"/>
      <c r="K897" s="55">
        <v>1.15</v>
      </c>
      <c r="L897" s="6">
        <v>480</v>
      </c>
      <c r="M897" s="16">
        <f t="shared" si="54"/>
        <v>2.395833333333333</v>
      </c>
      <c r="N897" s="94"/>
      <c r="O897" s="24" t="s">
        <v>1480</v>
      </c>
    </row>
    <row r="898" spans="2:15" ht="12.75">
      <c r="B898" s="195">
        <v>4.3</v>
      </c>
      <c r="C898" s="195">
        <v>8.6</v>
      </c>
      <c r="D898" s="195">
        <v>1.3</v>
      </c>
      <c r="F898" s="1281">
        <v>303</v>
      </c>
      <c r="G898" s="195">
        <f t="shared" si="53"/>
        <v>14.19141914191419</v>
      </c>
      <c r="H898" s="1212">
        <f>M898/F898*100000</f>
        <v>928.2178217821784</v>
      </c>
      <c r="I898" s="37" t="s">
        <v>873</v>
      </c>
      <c r="J898" s="61"/>
      <c r="K898" s="55">
        <v>1.35</v>
      </c>
      <c r="L898" s="6">
        <v>480</v>
      </c>
      <c r="M898" s="16">
        <f t="shared" si="54"/>
        <v>2.8125000000000004</v>
      </c>
      <c r="N898" s="94"/>
      <c r="O898" s="24" t="s">
        <v>2455</v>
      </c>
    </row>
    <row r="899" spans="2:15" ht="13.5" thickBot="1">
      <c r="B899" s="195">
        <v>7</v>
      </c>
      <c r="C899" s="195">
        <v>17</v>
      </c>
      <c r="D899" s="195">
        <v>2.8</v>
      </c>
      <c r="F899" s="1282">
        <v>546</v>
      </c>
      <c r="G899" s="195">
        <f t="shared" si="53"/>
        <v>12.82051282051282</v>
      </c>
      <c r="H899" s="1212">
        <f>M899/F899*100000</f>
        <v>404.4566544566545</v>
      </c>
      <c r="I899" s="28" t="s">
        <v>2853</v>
      </c>
      <c r="J899" s="96"/>
      <c r="K899" s="96">
        <v>0.53</v>
      </c>
      <c r="L899" s="28">
        <v>240</v>
      </c>
      <c r="M899" s="29">
        <f t="shared" si="54"/>
        <v>2.2083333333333335</v>
      </c>
      <c r="N899" s="94"/>
      <c r="O899" s="24" t="s">
        <v>2455</v>
      </c>
    </row>
    <row r="900" spans="2:15" s="3" customFormat="1" ht="12.75">
      <c r="B900" s="196">
        <v>5.8</v>
      </c>
      <c r="C900" s="196">
        <v>17.9</v>
      </c>
      <c r="D900" s="196">
        <v>1.7</v>
      </c>
      <c r="E900" s="738"/>
      <c r="F900" s="199">
        <v>433</v>
      </c>
      <c r="G900" s="196">
        <f t="shared" si="53"/>
        <v>13.394919168591224</v>
      </c>
      <c r="H900" s="1212">
        <f aca="true" t="shared" si="55" ref="H900:H909">M900/F900*100000</f>
        <v>1822.6957799706067</v>
      </c>
      <c r="I900" s="728" t="s">
        <v>2533</v>
      </c>
      <c r="J900" s="1024">
        <v>1.79</v>
      </c>
      <c r="K900" s="95">
        <f>J900*0.97</f>
        <v>1.7363</v>
      </c>
      <c r="L900" s="3">
        <v>220</v>
      </c>
      <c r="M900" s="8">
        <f t="shared" si="54"/>
        <v>7.892272727272727</v>
      </c>
      <c r="N900" s="134"/>
      <c r="O900" s="50" t="s">
        <v>1223</v>
      </c>
    </row>
    <row r="901" spans="2:15" s="3" customFormat="1" ht="12.75">
      <c r="B901" s="196">
        <v>8.8</v>
      </c>
      <c r="C901" s="196">
        <v>20.7</v>
      </c>
      <c r="D901" s="196">
        <v>1.8</v>
      </c>
      <c r="E901" s="738"/>
      <c r="F901" s="199">
        <v>562</v>
      </c>
      <c r="G901" s="196">
        <f aca="true" t="shared" si="56" ref="G901:G914">B901/F901*1000</f>
        <v>15.658362989323845</v>
      </c>
      <c r="H901" s="1212">
        <f t="shared" si="55"/>
        <v>834.829026767755</v>
      </c>
      <c r="I901" s="728" t="s">
        <v>2105</v>
      </c>
      <c r="J901" s="602">
        <v>1.09</v>
      </c>
      <c r="K901" s="95">
        <f>J901*0.99</f>
        <v>1.0791000000000002</v>
      </c>
      <c r="L901" s="3">
        <v>230</v>
      </c>
      <c r="M901" s="8">
        <f aca="true" t="shared" si="57" ref="M901:M909">K901/L901*1000</f>
        <v>4.691739130434783</v>
      </c>
      <c r="N901" s="134"/>
      <c r="O901" s="50" t="s">
        <v>2120</v>
      </c>
    </row>
    <row r="902" spans="1:15" s="3" customFormat="1" ht="12.75">
      <c r="A902" s="10"/>
      <c r="B902" s="218">
        <v>8.8</v>
      </c>
      <c r="C902" s="218">
        <v>20.7</v>
      </c>
      <c r="D902" s="218">
        <v>1.8</v>
      </c>
      <c r="E902" s="737"/>
      <c r="F902" s="219">
        <v>562</v>
      </c>
      <c r="G902" s="218">
        <f t="shared" si="56"/>
        <v>15.658362989323845</v>
      </c>
      <c r="H902" s="1212">
        <f t="shared" si="55"/>
        <v>681.6493888287174</v>
      </c>
      <c r="I902" s="991" t="s">
        <v>2105</v>
      </c>
      <c r="J902" s="601">
        <v>0.89</v>
      </c>
      <c r="K902" s="76">
        <f>J902*0.99</f>
        <v>0.8811</v>
      </c>
      <c r="L902" s="10">
        <v>230</v>
      </c>
      <c r="M902" s="9">
        <f t="shared" si="57"/>
        <v>3.8308695652173914</v>
      </c>
      <c r="N902" s="77" t="s">
        <v>1043</v>
      </c>
      <c r="O902" s="224" t="s">
        <v>2120</v>
      </c>
    </row>
    <row r="903" spans="2:15" s="3" customFormat="1" ht="12.75">
      <c r="B903" s="196">
        <v>6.9</v>
      </c>
      <c r="C903" s="196">
        <v>14</v>
      </c>
      <c r="D903" s="196">
        <v>1.7</v>
      </c>
      <c r="E903" s="738"/>
      <c r="F903" s="199">
        <v>458</v>
      </c>
      <c r="G903" s="196">
        <f>B903/F903*1000</f>
        <v>15.065502183406114</v>
      </c>
      <c r="H903" s="1212">
        <f t="shared" si="55"/>
        <v>991.6302765647745</v>
      </c>
      <c r="I903" s="1460" t="s">
        <v>333</v>
      </c>
      <c r="J903" s="1461"/>
      <c r="K903" s="1462">
        <v>1.09</v>
      </c>
      <c r="L903" s="1463">
        <v>240</v>
      </c>
      <c r="M903" s="1462">
        <f>K903/L903*1000</f>
        <v>4.541666666666667</v>
      </c>
      <c r="N903" s="1066"/>
      <c r="O903" s="669" t="s">
        <v>1480</v>
      </c>
    </row>
    <row r="904" spans="2:15" s="522" customFormat="1" ht="12.75">
      <c r="B904" s="196">
        <v>6.7</v>
      </c>
      <c r="C904" s="196">
        <v>14</v>
      </c>
      <c r="D904" s="196">
        <v>2</v>
      </c>
      <c r="E904" s="738"/>
      <c r="F904" s="199">
        <v>470</v>
      </c>
      <c r="G904" s="196">
        <f>B904/F904*1000</f>
        <v>14.255319148936172</v>
      </c>
      <c r="H904" s="1212">
        <f>M904/F904*100000</f>
        <v>1409.5744680851064</v>
      </c>
      <c r="I904" s="1152" t="s">
        <v>3145</v>
      </c>
      <c r="J904" s="666"/>
      <c r="K904" s="501">
        <v>1.59</v>
      </c>
      <c r="L904" s="667">
        <v>240</v>
      </c>
      <c r="M904" s="501">
        <f>K904/L904*1000</f>
        <v>6.625000000000001</v>
      </c>
      <c r="N904" s="1020"/>
      <c r="O904" s="1464" t="s">
        <v>3144</v>
      </c>
    </row>
    <row r="905" spans="2:15" s="522" customFormat="1" ht="12.75">
      <c r="B905" s="196">
        <v>8.8</v>
      </c>
      <c r="C905" s="196">
        <v>20.7</v>
      </c>
      <c r="D905" s="196">
        <v>1.8</v>
      </c>
      <c r="E905" s="738"/>
      <c r="F905" s="199">
        <v>562</v>
      </c>
      <c r="G905" s="196">
        <f>B905/F905*1000</f>
        <v>15.658362989323845</v>
      </c>
      <c r="H905" s="1212">
        <f>M905/F905*100000</f>
        <v>1252.9655990510084</v>
      </c>
      <c r="I905" s="1152" t="s">
        <v>2026</v>
      </c>
      <c r="J905" s="666"/>
      <c r="K905" s="501">
        <v>1.69</v>
      </c>
      <c r="L905" s="667">
        <v>240</v>
      </c>
      <c r="M905" s="501">
        <f>K905/L905*1000</f>
        <v>7.041666666666667</v>
      </c>
      <c r="N905" s="1020"/>
      <c r="O905" s="1464" t="s">
        <v>3131</v>
      </c>
    </row>
    <row r="906" spans="2:15" s="522" customFormat="1" ht="12.75">
      <c r="B906" s="196">
        <v>8.8</v>
      </c>
      <c r="C906" s="196">
        <v>20.7</v>
      </c>
      <c r="D906" s="196">
        <v>1.8</v>
      </c>
      <c r="E906" s="738"/>
      <c r="F906" s="199">
        <v>562</v>
      </c>
      <c r="G906" s="196">
        <f t="shared" si="56"/>
        <v>15.658362989323845</v>
      </c>
      <c r="H906" s="1212">
        <f t="shared" si="55"/>
        <v>882.2657176749702</v>
      </c>
      <c r="I906" s="1460" t="s">
        <v>2026</v>
      </c>
      <c r="J906" s="1461"/>
      <c r="K906" s="1462">
        <v>1.19</v>
      </c>
      <c r="L906" s="1463">
        <v>240</v>
      </c>
      <c r="M906" s="1462">
        <f t="shared" si="57"/>
        <v>4.958333333333333</v>
      </c>
      <c r="N906" s="1020"/>
      <c r="O906" s="722" t="s">
        <v>2402</v>
      </c>
    </row>
    <row r="907" spans="2:15" s="3" customFormat="1" ht="12.75">
      <c r="B907" s="196">
        <v>8.8</v>
      </c>
      <c r="C907" s="196">
        <v>20.7</v>
      </c>
      <c r="D907" s="196">
        <v>1.8</v>
      </c>
      <c r="E907" s="738"/>
      <c r="F907" s="199">
        <v>562</v>
      </c>
      <c r="G907" s="196">
        <f t="shared" si="56"/>
        <v>15.658362989323845</v>
      </c>
      <c r="H907" s="1212">
        <f t="shared" si="55"/>
        <v>733.9857651245551</v>
      </c>
      <c r="I907" s="485" t="s">
        <v>2026</v>
      </c>
      <c r="J907" s="729"/>
      <c r="K907" s="111">
        <v>0.99</v>
      </c>
      <c r="L907" s="133">
        <v>240</v>
      </c>
      <c r="M907" s="111">
        <f t="shared" si="57"/>
        <v>4.125</v>
      </c>
      <c r="N907" s="698"/>
      <c r="O907" s="50" t="s">
        <v>1742</v>
      </c>
    </row>
    <row r="908" spans="2:15" s="3" customFormat="1" ht="12.75">
      <c r="B908" s="196">
        <v>8.8</v>
      </c>
      <c r="C908" s="196">
        <v>20.7</v>
      </c>
      <c r="D908" s="196">
        <v>1.8</v>
      </c>
      <c r="E908" s="738"/>
      <c r="F908" s="199">
        <v>562</v>
      </c>
      <c r="G908" s="196">
        <f t="shared" si="56"/>
        <v>15.658362989323845</v>
      </c>
      <c r="H908" s="1212">
        <f t="shared" si="55"/>
        <v>719.1577698695135</v>
      </c>
      <c r="I908" s="485" t="s">
        <v>1144</v>
      </c>
      <c r="J908" s="729"/>
      <c r="K908" s="111">
        <v>0.97</v>
      </c>
      <c r="L908" s="133">
        <v>240</v>
      </c>
      <c r="M908" s="111">
        <f t="shared" si="57"/>
        <v>4.041666666666666</v>
      </c>
      <c r="N908" s="698"/>
      <c r="O908" s="50" t="s">
        <v>942</v>
      </c>
    </row>
    <row r="909" spans="1:15" s="3" customFormat="1" ht="12.75">
      <c r="A909" s="10"/>
      <c r="B909" s="218">
        <v>8.8</v>
      </c>
      <c r="C909" s="218">
        <v>20.7</v>
      </c>
      <c r="D909" s="218">
        <v>1.8</v>
      </c>
      <c r="E909" s="737"/>
      <c r="F909" s="219">
        <v>562</v>
      </c>
      <c r="G909" s="218">
        <f t="shared" si="56"/>
        <v>15.658362989323845</v>
      </c>
      <c r="H909" s="1212">
        <f t="shared" si="55"/>
        <v>659.8457888493476</v>
      </c>
      <c r="I909" s="688" t="s">
        <v>2026</v>
      </c>
      <c r="J909" s="374"/>
      <c r="K909" s="375">
        <v>0.89</v>
      </c>
      <c r="L909" s="376">
        <v>240</v>
      </c>
      <c r="M909" s="375">
        <f t="shared" si="57"/>
        <v>3.7083333333333335</v>
      </c>
      <c r="N909" s="637" t="s">
        <v>1362</v>
      </c>
      <c r="O909" s="224" t="s">
        <v>1458</v>
      </c>
    </row>
    <row r="910" spans="1:15" s="3" customFormat="1" ht="12.75">
      <c r="A910"/>
      <c r="B910" s="195">
        <v>7.2</v>
      </c>
      <c r="C910" s="195">
        <v>21.8</v>
      </c>
      <c r="D910" s="195">
        <v>2.5</v>
      </c>
      <c r="E910" s="732"/>
      <c r="F910" s="198">
        <v>589</v>
      </c>
      <c r="G910" s="195">
        <f t="shared" si="56"/>
        <v>12.224108658743633</v>
      </c>
      <c r="H910" s="1212"/>
      <c r="I910" s="56" t="s">
        <v>1317</v>
      </c>
      <c r="J910" s="842" t="s">
        <v>2201</v>
      </c>
      <c r="K910" s="8"/>
      <c r="L910"/>
      <c r="M910" s="5"/>
      <c r="N910" s="94"/>
      <c r="O910" s="24" t="s">
        <v>2174</v>
      </c>
    </row>
    <row r="911" spans="1:15" s="3" customFormat="1" ht="12.75">
      <c r="A911"/>
      <c r="B911" s="499">
        <v>7.2</v>
      </c>
      <c r="C911" s="499">
        <v>21.8</v>
      </c>
      <c r="D911" s="499">
        <v>2.5</v>
      </c>
      <c r="E911" s="741"/>
      <c r="F911" s="500">
        <v>589</v>
      </c>
      <c r="G911" s="499">
        <f t="shared" si="56"/>
        <v>12.224108658743633</v>
      </c>
      <c r="H911" s="499"/>
      <c r="I911" s="37" t="s">
        <v>264</v>
      </c>
      <c r="J911" s="61"/>
      <c r="K911" s="98">
        <v>1.59</v>
      </c>
      <c r="L911" s="42">
        <v>230</v>
      </c>
      <c r="M911" s="41">
        <f>K911/L911*1000</f>
        <v>6.91304347826087</v>
      </c>
      <c r="N911" s="94"/>
      <c r="O911" s="24" t="s">
        <v>1246</v>
      </c>
    </row>
    <row r="912" spans="1:15" s="3" customFormat="1" ht="12.75">
      <c r="A912"/>
      <c r="B912" s="499">
        <v>7.6</v>
      </c>
      <c r="C912" s="499">
        <v>13.1</v>
      </c>
      <c r="D912" s="499">
        <v>3</v>
      </c>
      <c r="E912" s="741"/>
      <c r="F912" s="500">
        <v>517</v>
      </c>
      <c r="G912" s="499">
        <f t="shared" si="56"/>
        <v>14.700193423597678</v>
      </c>
      <c r="H912" s="499"/>
      <c r="I912" s="37" t="s">
        <v>2725</v>
      </c>
      <c r="J912" s="61"/>
      <c r="K912" s="8">
        <v>1.47</v>
      </c>
      <c r="L912">
        <v>215</v>
      </c>
      <c r="M912" s="5">
        <f>K912/L912*1000</f>
        <v>6.837209302325582</v>
      </c>
      <c r="N912" s="94"/>
      <c r="O912" s="24" t="s">
        <v>1246</v>
      </c>
    </row>
    <row r="913" spans="1:15" s="3" customFormat="1" ht="12.75">
      <c r="A913"/>
      <c r="B913" s="498">
        <v>7.6</v>
      </c>
      <c r="C913" s="498">
        <v>13.1</v>
      </c>
      <c r="D913" s="498">
        <v>3</v>
      </c>
      <c r="E913" s="742"/>
      <c r="F913" s="316">
        <v>463</v>
      </c>
      <c r="G913" s="498">
        <f t="shared" si="56"/>
        <v>16.414686825053995</v>
      </c>
      <c r="H913" s="498"/>
      <c r="I913" s="71" t="s">
        <v>1645</v>
      </c>
      <c r="J913" s="96"/>
      <c r="K913" s="111">
        <v>1.27</v>
      </c>
      <c r="L913" s="30">
        <v>215</v>
      </c>
      <c r="M913" s="29">
        <f>K913/L913*1000</f>
        <v>5.906976744186046</v>
      </c>
      <c r="N913" s="94"/>
      <c r="O913" s="24" t="s">
        <v>1251</v>
      </c>
    </row>
    <row r="914" spans="1:15" s="3" customFormat="1" ht="12.75">
      <c r="A914"/>
      <c r="B914" s="498">
        <v>7.6</v>
      </c>
      <c r="C914" s="498">
        <v>13.1</v>
      </c>
      <c r="D914" s="498">
        <v>3</v>
      </c>
      <c r="E914" s="742"/>
      <c r="F914" s="316">
        <v>463</v>
      </c>
      <c r="G914" s="498">
        <f t="shared" si="56"/>
        <v>16.414686825053995</v>
      </c>
      <c r="H914" s="498"/>
      <c r="I914" s="71" t="s">
        <v>1645</v>
      </c>
      <c r="J914" s="96"/>
      <c r="K914" s="111">
        <v>1.17</v>
      </c>
      <c r="L914" s="30">
        <v>215</v>
      </c>
      <c r="M914" s="29">
        <f>K914/L914*1000</f>
        <v>5.441860465116279</v>
      </c>
      <c r="N914" s="94"/>
      <c r="O914" s="24" t="s">
        <v>644</v>
      </c>
    </row>
    <row r="915" spans="1:15" s="3" customFormat="1" ht="12.75">
      <c r="A915"/>
      <c r="B915" s="195"/>
      <c r="C915" s="195"/>
      <c r="D915" s="195"/>
      <c r="E915" s="732"/>
      <c r="F915" s="198"/>
      <c r="G915" s="195"/>
      <c r="H915" s="195"/>
      <c r="I915" s="43" t="s">
        <v>2922</v>
      </c>
      <c r="J915" s="61">
        <v>1.89</v>
      </c>
      <c r="K915" s="95">
        <f>J915*0.97</f>
        <v>1.8333</v>
      </c>
      <c r="L915">
        <v>230</v>
      </c>
      <c r="M915" s="5">
        <f>K915/L915*1000</f>
        <v>7.970869565217391</v>
      </c>
      <c r="N915" s="94"/>
      <c r="O915" s="24" t="s">
        <v>84</v>
      </c>
    </row>
    <row r="916" spans="1:15" s="3" customFormat="1" ht="7.5" customHeight="1">
      <c r="A916"/>
      <c r="B916" s="195"/>
      <c r="C916" s="195"/>
      <c r="D916" s="195"/>
      <c r="E916" s="732"/>
      <c r="F916" s="198"/>
      <c r="G916" s="195"/>
      <c r="H916" s="195"/>
      <c r="I916" s="43"/>
      <c r="J916" s="61"/>
      <c r="K916" s="95"/>
      <c r="L916"/>
      <c r="M916" s="5"/>
      <c r="N916" s="94"/>
      <c r="O916" s="24"/>
    </row>
    <row r="917" spans="1:15" s="3" customFormat="1" ht="7.5" customHeight="1">
      <c r="A917"/>
      <c r="B917" s="195"/>
      <c r="C917" s="195"/>
      <c r="D917" s="195"/>
      <c r="E917" s="732"/>
      <c r="F917" s="198"/>
      <c r="G917" s="195"/>
      <c r="H917" s="195"/>
      <c r="I917" s="43"/>
      <c r="J917" s="61"/>
      <c r="K917" s="95"/>
      <c r="L917"/>
      <c r="M917" s="5"/>
      <c r="N917" s="94"/>
      <c r="O917" s="24"/>
    </row>
    <row r="918" spans="1:15" s="3" customFormat="1" ht="7.5" customHeight="1">
      <c r="A918"/>
      <c r="B918" s="195"/>
      <c r="C918" s="195"/>
      <c r="D918" s="195"/>
      <c r="E918" s="732"/>
      <c r="F918" s="198"/>
      <c r="G918" s="195"/>
      <c r="H918" s="195"/>
      <c r="I918" s="43"/>
      <c r="J918" s="61"/>
      <c r="K918" s="95"/>
      <c r="L918"/>
      <c r="M918" s="5"/>
      <c r="N918" s="94"/>
      <c r="O918" s="24"/>
    </row>
    <row r="919" spans="1:15" s="3" customFormat="1" ht="15.75">
      <c r="A919"/>
      <c r="B919" s="195"/>
      <c r="C919" s="195"/>
      <c r="D919" s="195"/>
      <c r="E919" s="732"/>
      <c r="F919" s="198"/>
      <c r="G919" s="195"/>
      <c r="H919" s="195"/>
      <c r="I919" s="248" t="s">
        <v>239</v>
      </c>
      <c r="J919" s="61"/>
      <c r="K919" s="8"/>
      <c r="L919"/>
      <c r="M919" s="5"/>
      <c r="N919" s="94"/>
      <c r="O919" s="24"/>
    </row>
    <row r="920" spans="2:15" s="3" customFormat="1" ht="12.75">
      <c r="B920" s="196">
        <v>7.9</v>
      </c>
      <c r="C920" s="196">
        <v>17</v>
      </c>
      <c r="D920" s="196">
        <v>0.7</v>
      </c>
      <c r="E920" s="738"/>
      <c r="F920" s="199">
        <v>512</v>
      </c>
      <c r="G920" s="195">
        <f>B920/F920*1000</f>
        <v>15.4296875</v>
      </c>
      <c r="H920" s="1212">
        <f>M920/F920*100000</f>
        <v>1049.8046875</v>
      </c>
      <c r="I920" s="728" t="s">
        <v>3151</v>
      </c>
      <c r="J920" s="602"/>
      <c r="K920" s="98">
        <v>1.29</v>
      </c>
      <c r="L920" s="640">
        <v>240</v>
      </c>
      <c r="M920" s="1521">
        <f>K920/L920*1000</f>
        <v>5.375</v>
      </c>
      <c r="N920" s="698"/>
      <c r="O920" s="792" t="s">
        <v>3144</v>
      </c>
    </row>
    <row r="921" spans="2:15" ht="12.75">
      <c r="B921" s="195">
        <v>7.3</v>
      </c>
      <c r="C921" s="195">
        <v>15</v>
      </c>
      <c r="D921" s="195">
        <v>0.4</v>
      </c>
      <c r="F921" s="198">
        <v>449</v>
      </c>
      <c r="G921" s="195">
        <f>B921/F921*1000</f>
        <v>16.258351893095767</v>
      </c>
      <c r="H921" s="1212">
        <f>M921/F921*100000</f>
        <v>485.0284583024004</v>
      </c>
      <c r="I921" s="6" t="s">
        <v>2854</v>
      </c>
      <c r="J921" s="61"/>
      <c r="K921" s="55">
        <v>0.49</v>
      </c>
      <c r="L921" s="6">
        <v>225</v>
      </c>
      <c r="M921" s="16">
        <f>K921/L921*1000</f>
        <v>2.1777777777777776</v>
      </c>
      <c r="N921" s="94"/>
      <c r="O921" s="24" t="s">
        <v>2168</v>
      </c>
    </row>
    <row r="922" spans="8:14" ht="12.75">
      <c r="H922" s="1212"/>
      <c r="I922" s="56" t="s">
        <v>2933</v>
      </c>
      <c r="J922" s="61"/>
      <c r="K922" s="55"/>
      <c r="L922" s="6"/>
      <c r="M922" s="16"/>
      <c r="N922" s="94"/>
    </row>
    <row r="923" spans="2:15" s="3" customFormat="1" ht="12.75">
      <c r="B923" s="196"/>
      <c r="C923" s="196"/>
      <c r="D923" s="196"/>
      <c r="E923" s="738"/>
      <c r="F923" s="199"/>
      <c r="G923" s="196"/>
      <c r="H923" s="196"/>
      <c r="I923" s="728" t="s">
        <v>2891</v>
      </c>
      <c r="J923" s="1528">
        <f>K923/12</f>
        <v>1.0175</v>
      </c>
      <c r="K923" s="98">
        <v>12.21</v>
      </c>
      <c r="L923" s="640">
        <f>12*240</f>
        <v>2880</v>
      </c>
      <c r="M923" s="430">
        <f>K923/L923*1000</f>
        <v>4.239583333333334</v>
      </c>
      <c r="N923" s="698"/>
      <c r="O923" s="669" t="s">
        <v>2988</v>
      </c>
    </row>
    <row r="924" spans="2:15" s="3" customFormat="1" ht="12.75">
      <c r="B924" s="196">
        <v>7.2</v>
      </c>
      <c r="C924" s="196">
        <v>14</v>
      </c>
      <c r="D924" s="196">
        <v>0.6</v>
      </c>
      <c r="E924" s="738"/>
      <c r="F924" s="199">
        <v>425</v>
      </c>
      <c r="G924" s="196">
        <f>B924/F924*1000</f>
        <v>16.94117647058824</v>
      </c>
      <c r="H924" s="1212">
        <f>M924/F924*100000</f>
        <v>1656.8627450980393</v>
      </c>
      <c r="I924" s="1529" t="s">
        <v>3136</v>
      </c>
      <c r="J924" s="602"/>
      <c r="K924" s="1522">
        <v>1.69</v>
      </c>
      <c r="L924" s="640">
        <v>240</v>
      </c>
      <c r="M924" s="98">
        <f>K924/L924*1000</f>
        <v>7.041666666666667</v>
      </c>
      <c r="N924" s="698"/>
      <c r="O924" s="286" t="s">
        <v>3137</v>
      </c>
    </row>
    <row r="925" spans="2:15" s="3" customFormat="1" ht="12.75">
      <c r="B925" s="196">
        <v>7.2</v>
      </c>
      <c r="C925" s="196">
        <v>14</v>
      </c>
      <c r="D925" s="196">
        <v>0.6</v>
      </c>
      <c r="E925" s="738"/>
      <c r="F925" s="199">
        <v>425</v>
      </c>
      <c r="G925" s="196">
        <f>B925/F925*1000</f>
        <v>16.94117647058824</v>
      </c>
      <c r="H925" s="1212">
        <f>M925/F925*100000</f>
        <v>1362.7450980392155</v>
      </c>
      <c r="I925" s="1478" t="s">
        <v>2652</v>
      </c>
      <c r="J925" s="1479"/>
      <c r="K925" s="1480">
        <v>1.39</v>
      </c>
      <c r="L925" s="1481">
        <v>240</v>
      </c>
      <c r="M925" s="1480">
        <f>K925/L925*1000</f>
        <v>5.791666666666666</v>
      </c>
      <c r="N925" s="698"/>
      <c r="O925" s="286" t="s">
        <v>1985</v>
      </c>
    </row>
    <row r="926" spans="2:15" s="3" customFormat="1" ht="12.75">
      <c r="B926" s="196">
        <v>7.2</v>
      </c>
      <c r="C926" s="196">
        <v>14</v>
      </c>
      <c r="D926" s="196">
        <v>0.6</v>
      </c>
      <c r="E926" s="738"/>
      <c r="F926" s="199">
        <v>425</v>
      </c>
      <c r="G926" s="196">
        <f>B926/F926*1000</f>
        <v>16.94117647058824</v>
      </c>
      <c r="H926" s="1212">
        <f>M926/F926*100000</f>
        <v>1166.6666666666665</v>
      </c>
      <c r="I926" s="485" t="s">
        <v>2652</v>
      </c>
      <c r="J926" s="729"/>
      <c r="K926" s="111">
        <v>1.19</v>
      </c>
      <c r="L926" s="133">
        <v>240</v>
      </c>
      <c r="M926" s="111">
        <f>K926/L926*1000</f>
        <v>4.958333333333333</v>
      </c>
      <c r="N926" s="698"/>
      <c r="O926" s="286" t="s">
        <v>2058</v>
      </c>
    </row>
    <row r="927" spans="2:15" s="3" customFormat="1" ht="12.75">
      <c r="B927" s="196">
        <v>8.4</v>
      </c>
      <c r="C927" s="196">
        <v>19.8</v>
      </c>
      <c r="D927" s="196">
        <v>0.7</v>
      </c>
      <c r="E927" s="738"/>
      <c r="F927" s="199">
        <v>569</v>
      </c>
      <c r="G927" s="196">
        <f aca="true" t="shared" si="58" ref="G927:G933">B927/F927*1000</f>
        <v>14.762741652021091</v>
      </c>
      <c r="H927" s="1212">
        <f aca="true" t="shared" si="59" ref="H927:H933">M927/F927*100000</f>
        <v>798.1839484475689</v>
      </c>
      <c r="I927" s="485" t="s">
        <v>457</v>
      </c>
      <c r="J927" s="729"/>
      <c r="K927" s="111">
        <v>1.09</v>
      </c>
      <c r="L927" s="640">
        <v>240</v>
      </c>
      <c r="M927" s="98">
        <f>K927/L927*1000</f>
        <v>4.541666666666667</v>
      </c>
      <c r="N927" s="698"/>
      <c r="O927" s="50" t="s">
        <v>2065</v>
      </c>
    </row>
    <row r="928" spans="2:15" s="3" customFormat="1" ht="12.75">
      <c r="B928" s="196">
        <v>8.4</v>
      </c>
      <c r="C928" s="196">
        <v>19.8</v>
      </c>
      <c r="D928" s="196">
        <v>0.7</v>
      </c>
      <c r="E928" s="738"/>
      <c r="F928" s="199">
        <v>569</v>
      </c>
      <c r="G928" s="196">
        <f t="shared" si="58"/>
        <v>14.762741652021091</v>
      </c>
      <c r="H928" s="1212">
        <f t="shared" si="59"/>
        <v>651.7281780902168</v>
      </c>
      <c r="I928" s="485" t="s">
        <v>457</v>
      </c>
      <c r="J928" s="729"/>
      <c r="K928" s="111">
        <v>0.89</v>
      </c>
      <c r="L928" s="133">
        <v>240</v>
      </c>
      <c r="M928" s="111">
        <f aca="true" t="shared" si="60" ref="M928:M934">K928/L928*1000</f>
        <v>3.7083333333333335</v>
      </c>
      <c r="N928" s="698" t="s">
        <v>1362</v>
      </c>
      <c r="O928" s="50" t="s">
        <v>1458</v>
      </c>
    </row>
    <row r="929" spans="1:15" s="3" customFormat="1" ht="12.75">
      <c r="A929" s="10"/>
      <c r="B929" s="218">
        <v>8.4</v>
      </c>
      <c r="C929" s="218">
        <v>19.8</v>
      </c>
      <c r="D929" s="218">
        <v>0.7</v>
      </c>
      <c r="E929" s="737"/>
      <c r="F929" s="219">
        <v>569</v>
      </c>
      <c r="G929" s="218">
        <f t="shared" si="58"/>
        <v>14.762741652021091</v>
      </c>
      <c r="H929" s="1212">
        <f t="shared" si="59"/>
        <v>724.9560632688928</v>
      </c>
      <c r="I929" s="688" t="s">
        <v>457</v>
      </c>
      <c r="J929" s="374"/>
      <c r="K929" s="375">
        <v>0.99</v>
      </c>
      <c r="L929" s="376">
        <v>240</v>
      </c>
      <c r="M929" s="375">
        <f t="shared" si="60"/>
        <v>4.125</v>
      </c>
      <c r="N929" s="637"/>
      <c r="O929" s="224" t="s">
        <v>1431</v>
      </c>
    </row>
    <row r="930" spans="1:15" s="3" customFormat="1" ht="12.75">
      <c r="A930"/>
      <c r="B930" s="195">
        <v>7.6</v>
      </c>
      <c r="C930" s="195">
        <v>18</v>
      </c>
      <c r="D930" s="195">
        <v>0.5</v>
      </c>
      <c r="E930" s="732"/>
      <c r="F930" s="198">
        <v>454</v>
      </c>
      <c r="G930" s="195">
        <f t="shared" si="58"/>
        <v>16.740088105726873</v>
      </c>
      <c r="H930" s="1212">
        <f t="shared" si="59"/>
        <v>1331.1626125263358</v>
      </c>
      <c r="I930" s="71" t="s">
        <v>2277</v>
      </c>
      <c r="J930" s="96"/>
      <c r="K930" s="111">
        <v>1.39</v>
      </c>
      <c r="L930" s="30">
        <v>230</v>
      </c>
      <c r="M930" s="29">
        <f t="shared" si="60"/>
        <v>6.0434782608695645</v>
      </c>
      <c r="N930" s="94"/>
      <c r="O930" s="24" t="s">
        <v>2475</v>
      </c>
    </row>
    <row r="931" spans="1:15" s="3" customFormat="1" ht="12.75">
      <c r="A931" s="10"/>
      <c r="B931" s="218">
        <v>7.6</v>
      </c>
      <c r="C931" s="218">
        <v>18</v>
      </c>
      <c r="D931" s="218">
        <v>0.5</v>
      </c>
      <c r="E931" s="737"/>
      <c r="F931" s="219">
        <v>454</v>
      </c>
      <c r="G931" s="218">
        <f t="shared" si="58"/>
        <v>16.740088105726873</v>
      </c>
      <c r="H931" s="1212">
        <f t="shared" si="59"/>
        <v>1426.9297069526908</v>
      </c>
      <c r="I931" s="215" t="s">
        <v>2277</v>
      </c>
      <c r="J931" s="636" t="s">
        <v>2201</v>
      </c>
      <c r="K931" s="9">
        <v>1.49</v>
      </c>
      <c r="L931" s="10">
        <v>230</v>
      </c>
      <c r="M931" s="9">
        <f t="shared" si="60"/>
        <v>6.478260869565217</v>
      </c>
      <c r="N931" s="637"/>
      <c r="O931" s="224" t="s">
        <v>1246</v>
      </c>
    </row>
    <row r="932" spans="1:15" s="3" customFormat="1" ht="12.75">
      <c r="A932" s="10"/>
      <c r="B932" s="218">
        <v>8</v>
      </c>
      <c r="C932" s="218">
        <v>13.2</v>
      </c>
      <c r="D932" s="218">
        <v>1.1</v>
      </c>
      <c r="E932" s="737"/>
      <c r="F932" s="219">
        <v>401</v>
      </c>
      <c r="G932" s="218">
        <f t="shared" si="58"/>
        <v>19.950124688279303</v>
      </c>
      <c r="H932" s="1212">
        <f t="shared" si="59"/>
        <v>1548.2128013300082</v>
      </c>
      <c r="I932" s="75" t="s">
        <v>2216</v>
      </c>
      <c r="J932" s="601"/>
      <c r="K932" s="9">
        <v>1.49</v>
      </c>
      <c r="L932" s="10">
        <v>240</v>
      </c>
      <c r="M932" s="9">
        <f t="shared" si="60"/>
        <v>6.208333333333333</v>
      </c>
      <c r="N932" s="638"/>
      <c r="O932" s="224" t="s">
        <v>2031</v>
      </c>
    </row>
    <row r="933" spans="1:15" s="3" customFormat="1" ht="12.75">
      <c r="A933"/>
      <c r="B933" s="195">
        <v>8.4</v>
      </c>
      <c r="C933" s="195">
        <v>15.9</v>
      </c>
      <c r="D933" s="195">
        <v>0.5</v>
      </c>
      <c r="E933" s="732"/>
      <c r="F933" s="198">
        <v>431</v>
      </c>
      <c r="G933" s="195">
        <f t="shared" si="58"/>
        <v>19.48955916473318</v>
      </c>
      <c r="H933" s="1212">
        <f t="shared" si="59"/>
        <v>1397.2351121423048</v>
      </c>
      <c r="I933" s="31" t="s">
        <v>1227</v>
      </c>
      <c r="J933" s="61">
        <v>1.49</v>
      </c>
      <c r="K933" s="95">
        <f>J933*0.97</f>
        <v>1.4453</v>
      </c>
      <c r="L933">
        <v>240</v>
      </c>
      <c r="M933" s="5">
        <f t="shared" si="60"/>
        <v>6.022083333333334</v>
      </c>
      <c r="N933" s="131" t="s">
        <v>1797</v>
      </c>
      <c r="O933" s="24" t="s">
        <v>2213</v>
      </c>
    </row>
    <row r="934" spans="1:15" s="3" customFormat="1" ht="14.25" customHeight="1">
      <c r="A934"/>
      <c r="B934" s="195"/>
      <c r="C934" s="195"/>
      <c r="D934" s="195"/>
      <c r="E934" s="732"/>
      <c r="F934" s="198"/>
      <c r="G934" s="195"/>
      <c r="H934" s="195"/>
      <c r="I934" s="6" t="s">
        <v>2014</v>
      </c>
      <c r="J934" s="55"/>
      <c r="K934" s="55">
        <v>0.79</v>
      </c>
      <c r="L934" s="6">
        <v>510</v>
      </c>
      <c r="M934" s="16">
        <f t="shared" si="60"/>
        <v>1.5490196078431373</v>
      </c>
      <c r="N934" s="94"/>
      <c r="O934" s="24" t="s">
        <v>84</v>
      </c>
    </row>
    <row r="935" spans="1:15" s="3" customFormat="1" ht="15.75">
      <c r="A935"/>
      <c r="B935" s="195"/>
      <c r="C935" s="195"/>
      <c r="D935" s="195"/>
      <c r="E935" s="732"/>
      <c r="F935" s="198"/>
      <c r="G935" s="195"/>
      <c r="H935" s="195"/>
      <c r="I935" s="91" t="s">
        <v>640</v>
      </c>
      <c r="J935" s="61"/>
      <c r="K935" s="8"/>
      <c r="L935"/>
      <c r="M935" s="5"/>
      <c r="N935" s="94"/>
      <c r="O935" s="24"/>
    </row>
    <row r="936" spans="2:15" s="3" customFormat="1" ht="12.75">
      <c r="B936" s="196">
        <v>7.9</v>
      </c>
      <c r="C936" s="196">
        <v>17</v>
      </c>
      <c r="D936" s="196">
        <v>0.7</v>
      </c>
      <c r="E936" s="738"/>
      <c r="F936" s="199">
        <v>512</v>
      </c>
      <c r="G936" s="195">
        <f aca="true" t="shared" si="61" ref="G936:G941">B936/F936*1000</f>
        <v>15.4296875</v>
      </c>
      <c r="H936" s="1212">
        <f>M936/F936*100000</f>
        <v>1212.5651041666665</v>
      </c>
      <c r="I936" s="340" t="s">
        <v>3152</v>
      </c>
      <c r="J936" s="602"/>
      <c r="K936" s="98">
        <v>1.49</v>
      </c>
      <c r="L936" s="640">
        <v>240</v>
      </c>
      <c r="M936" s="1522">
        <f>K936/L936*1000</f>
        <v>6.208333333333333</v>
      </c>
      <c r="N936" s="698"/>
      <c r="O936" s="792" t="s">
        <v>3144</v>
      </c>
    </row>
    <row r="937" spans="2:15" ht="12.75">
      <c r="B937" s="195">
        <v>6.6</v>
      </c>
      <c r="C937" s="195">
        <v>13</v>
      </c>
      <c r="D937" s="195">
        <v>0.7</v>
      </c>
      <c r="F937" s="198">
        <v>414</v>
      </c>
      <c r="G937" s="195">
        <f t="shared" si="61"/>
        <v>15.942028985507246</v>
      </c>
      <c r="H937" s="1212">
        <f>M937/F937*100000</f>
        <v>314.4654088050314</v>
      </c>
      <c r="I937" s="6" t="s">
        <v>261</v>
      </c>
      <c r="J937" s="61"/>
      <c r="K937" s="55">
        <v>0.69</v>
      </c>
      <c r="L937" s="6">
        <v>530</v>
      </c>
      <c r="M937" s="16">
        <f aca="true" t="shared" si="62" ref="M937:M943">K937/L937*1000</f>
        <v>1.3018867924528301</v>
      </c>
      <c r="N937" s="94"/>
      <c r="O937" s="24">
        <v>2012</v>
      </c>
    </row>
    <row r="938" spans="2:15" ht="12.75">
      <c r="B938" s="195">
        <v>5.4</v>
      </c>
      <c r="C938" s="195">
        <v>15.4</v>
      </c>
      <c r="D938" s="195">
        <v>0</v>
      </c>
      <c r="F938" s="198">
        <v>390</v>
      </c>
      <c r="G938" s="195">
        <f t="shared" si="61"/>
        <v>13.846153846153847</v>
      </c>
      <c r="H938" s="1212">
        <f>M938/F938*100000</f>
        <v>333.8171262699564</v>
      </c>
      <c r="I938" s="6" t="s">
        <v>1365</v>
      </c>
      <c r="J938" s="61"/>
      <c r="K938" s="55">
        <v>0.69</v>
      </c>
      <c r="L938" s="6">
        <v>530</v>
      </c>
      <c r="M938" s="16">
        <f t="shared" si="62"/>
        <v>1.3018867924528301</v>
      </c>
      <c r="N938" s="94"/>
      <c r="O938" s="24" t="s">
        <v>2451</v>
      </c>
    </row>
    <row r="939" spans="2:15" s="3" customFormat="1" ht="12.75">
      <c r="B939" s="196">
        <v>6.4</v>
      </c>
      <c r="C939" s="196">
        <v>13</v>
      </c>
      <c r="D939" s="196">
        <v>0.4</v>
      </c>
      <c r="E939" s="738"/>
      <c r="F939" s="199">
        <v>392</v>
      </c>
      <c r="G939" s="196">
        <f t="shared" si="61"/>
        <v>16.3265306122449</v>
      </c>
      <c r="H939" s="196"/>
      <c r="I939" s="221" t="s">
        <v>2214</v>
      </c>
      <c r="J939" s="61"/>
      <c r="K939" s="98">
        <v>1.39</v>
      </c>
      <c r="L939" s="640">
        <v>240</v>
      </c>
      <c r="M939" s="98">
        <f>K939/L939*1000</f>
        <v>5.791666666666666</v>
      </c>
      <c r="N939" s="698"/>
      <c r="O939" s="50" t="s">
        <v>1985</v>
      </c>
    </row>
    <row r="940" spans="2:15" s="3" customFormat="1" ht="12.75">
      <c r="B940" s="196">
        <v>6.4</v>
      </c>
      <c r="C940" s="196">
        <v>13</v>
      </c>
      <c r="D940" s="196">
        <v>0.4</v>
      </c>
      <c r="E940" s="738"/>
      <c r="F940" s="199">
        <v>392</v>
      </c>
      <c r="G940" s="196">
        <f t="shared" si="61"/>
        <v>16.3265306122449</v>
      </c>
      <c r="H940" s="196"/>
      <c r="I940" s="688" t="s">
        <v>2214</v>
      </c>
      <c r="J940" s="96"/>
      <c r="K940" s="111">
        <v>1.09</v>
      </c>
      <c r="L940" s="133">
        <v>240</v>
      </c>
      <c r="M940" s="111">
        <f t="shared" si="62"/>
        <v>4.541666666666667</v>
      </c>
      <c r="N940" s="698"/>
      <c r="O940" s="50" t="s">
        <v>848</v>
      </c>
    </row>
    <row r="941" spans="2:15" s="3" customFormat="1" ht="12.75">
      <c r="B941" s="196">
        <v>7.4</v>
      </c>
      <c r="C941" s="196">
        <v>14.4</v>
      </c>
      <c r="D941" s="196">
        <v>0.6</v>
      </c>
      <c r="E941" s="738"/>
      <c r="F941" s="199">
        <v>393</v>
      </c>
      <c r="G941" s="196">
        <f t="shared" si="61"/>
        <v>18.829516539440206</v>
      </c>
      <c r="H941" s="196"/>
      <c r="I941" s="221" t="s">
        <v>611</v>
      </c>
      <c r="J941" s="61"/>
      <c r="K941" s="98">
        <v>1.09</v>
      </c>
      <c r="L941" s="640">
        <v>240</v>
      </c>
      <c r="M941" s="98">
        <f t="shared" si="62"/>
        <v>4.541666666666667</v>
      </c>
      <c r="N941" s="698"/>
      <c r="O941" s="50" t="s">
        <v>3017</v>
      </c>
    </row>
    <row r="942" spans="2:15" s="3" customFormat="1" ht="12.75">
      <c r="B942" s="196">
        <v>7.1</v>
      </c>
      <c r="C942" s="196">
        <v>10.8</v>
      </c>
      <c r="D942" s="196">
        <v>0.5</v>
      </c>
      <c r="E942" s="738"/>
      <c r="F942" s="199">
        <v>319</v>
      </c>
      <c r="G942" s="196">
        <f aca="true" t="shared" si="63" ref="G942:G947">B942/F942*1000</f>
        <v>22.257053291536046</v>
      </c>
      <c r="H942" s="196"/>
      <c r="I942" s="221" t="s">
        <v>610</v>
      </c>
      <c r="J942" s="61"/>
      <c r="K942" s="98">
        <v>1.09</v>
      </c>
      <c r="L942" s="640">
        <v>240</v>
      </c>
      <c r="M942" s="98">
        <f t="shared" si="62"/>
        <v>4.541666666666667</v>
      </c>
      <c r="N942" s="698"/>
      <c r="O942" s="50" t="s">
        <v>3017</v>
      </c>
    </row>
    <row r="943" spans="1:15" s="3" customFormat="1" ht="12.75">
      <c r="A943"/>
      <c r="B943" s="195">
        <v>6.5</v>
      </c>
      <c r="C943" s="195">
        <v>17</v>
      </c>
      <c r="D943" s="195">
        <v>0.5</v>
      </c>
      <c r="E943" s="732"/>
      <c r="F943" s="198">
        <v>419</v>
      </c>
      <c r="G943" s="195">
        <f t="shared" si="63"/>
        <v>15.513126491646778</v>
      </c>
      <c r="H943" s="195"/>
      <c r="I943" s="31" t="s">
        <v>2497</v>
      </c>
      <c r="J943" s="61"/>
      <c r="K943" s="8">
        <v>1.49</v>
      </c>
      <c r="L943">
        <v>240</v>
      </c>
      <c r="M943" s="5">
        <f t="shared" si="62"/>
        <v>6.208333333333333</v>
      </c>
      <c r="N943" s="94"/>
      <c r="O943" s="24" t="s">
        <v>2537</v>
      </c>
    </row>
    <row r="944" spans="1:15" s="3" customFormat="1" ht="14.25">
      <c r="A944"/>
      <c r="B944" s="195">
        <v>6</v>
      </c>
      <c r="C944" s="195">
        <v>17.5</v>
      </c>
      <c r="D944" s="195">
        <v>0.7</v>
      </c>
      <c r="E944" s="732"/>
      <c r="F944" s="198">
        <v>426</v>
      </c>
      <c r="G944" s="195">
        <f t="shared" si="63"/>
        <v>14.084507042253522</v>
      </c>
      <c r="H944" s="195"/>
      <c r="I944" s="31" t="s">
        <v>66</v>
      </c>
      <c r="J944" s="61"/>
      <c r="K944" s="8">
        <v>1.79</v>
      </c>
      <c r="L944">
        <v>230</v>
      </c>
      <c r="M944" s="5">
        <f aca="true" t="shared" si="64" ref="M944:M949">K944/L944*1000</f>
        <v>7.782608695652174</v>
      </c>
      <c r="N944" s="94"/>
      <c r="O944" s="24" t="s">
        <v>2475</v>
      </c>
    </row>
    <row r="945" spans="2:15" ht="12.75">
      <c r="B945" s="195">
        <v>7.5</v>
      </c>
      <c r="C945" s="195">
        <v>14.4</v>
      </c>
      <c r="D945" s="195">
        <v>0.6</v>
      </c>
      <c r="F945" s="198">
        <v>394.5</v>
      </c>
      <c r="G945" s="195">
        <f t="shared" si="63"/>
        <v>19.011406844106464</v>
      </c>
      <c r="I945" s="31" t="s">
        <v>447</v>
      </c>
      <c r="J945" s="61"/>
      <c r="K945" s="8">
        <v>1.49</v>
      </c>
      <c r="L945">
        <v>240</v>
      </c>
      <c r="M945" s="5">
        <f t="shared" si="64"/>
        <v>6.208333333333333</v>
      </c>
      <c r="N945" s="94"/>
      <c r="O945" s="24" t="s">
        <v>84</v>
      </c>
    </row>
    <row r="946" spans="2:15" ht="12.75">
      <c r="B946" s="195">
        <v>7.5</v>
      </c>
      <c r="C946" s="195">
        <v>14.4</v>
      </c>
      <c r="D946" s="195">
        <v>0.6</v>
      </c>
      <c r="F946" s="198">
        <v>394.5</v>
      </c>
      <c r="G946" s="195">
        <f t="shared" si="63"/>
        <v>19.011406844106464</v>
      </c>
      <c r="I946" s="31" t="s">
        <v>1999</v>
      </c>
      <c r="J946" s="61"/>
      <c r="K946" s="8">
        <v>1.49</v>
      </c>
      <c r="L946">
        <v>240</v>
      </c>
      <c r="M946" s="5">
        <f t="shared" si="64"/>
        <v>6.208333333333333</v>
      </c>
      <c r="N946" s="94"/>
      <c r="O946" s="24" t="s">
        <v>752</v>
      </c>
    </row>
    <row r="947" spans="2:15" ht="12.75">
      <c r="B947" s="195">
        <v>6.4</v>
      </c>
      <c r="C947" s="195">
        <v>15</v>
      </c>
      <c r="D947" s="195">
        <v>0.6</v>
      </c>
      <c r="F947" s="198">
        <v>446</v>
      </c>
      <c r="G947" s="195">
        <f t="shared" si="63"/>
        <v>14.349775784753364</v>
      </c>
      <c r="H947" s="1212">
        <f>M947/F947*100000</f>
        <v>291.90286826296636</v>
      </c>
      <c r="I947" s="123" t="s">
        <v>1668</v>
      </c>
      <c r="J947" s="162"/>
      <c r="K947" s="162">
        <v>0.69</v>
      </c>
      <c r="L947" s="123">
        <v>530</v>
      </c>
      <c r="M947" s="148">
        <f>K947/L947*1000</f>
        <v>1.3018867924528301</v>
      </c>
      <c r="N947" s="94"/>
      <c r="O947" s="24" t="s">
        <v>637</v>
      </c>
    </row>
    <row r="948" spans="9:15" ht="14.25" customHeight="1">
      <c r="I948" s="56" t="s">
        <v>1104</v>
      </c>
      <c r="J948" s="55"/>
      <c r="K948" s="55"/>
      <c r="L948" s="6"/>
      <c r="M948" s="16"/>
      <c r="N948" s="94"/>
      <c r="O948" s="614" t="s">
        <v>637</v>
      </c>
    </row>
    <row r="949" spans="2:15" ht="14.25" customHeight="1">
      <c r="B949" s="195">
        <v>4.7</v>
      </c>
      <c r="C949" s="195">
        <v>14.8</v>
      </c>
      <c r="D949" s="195">
        <v>0.4</v>
      </c>
      <c r="F949" s="198">
        <v>346</v>
      </c>
      <c r="G949" s="195">
        <f>B949/F949*1000</f>
        <v>13.583815028901734</v>
      </c>
      <c r="I949" s="6" t="s">
        <v>1912</v>
      </c>
      <c r="J949" s="55"/>
      <c r="K949" s="55">
        <v>0.65</v>
      </c>
      <c r="L949" s="6">
        <v>510</v>
      </c>
      <c r="M949" s="16">
        <f t="shared" si="64"/>
        <v>1.2745098039215688</v>
      </c>
      <c r="N949" s="94"/>
      <c r="O949" s="24" t="s">
        <v>233</v>
      </c>
    </row>
    <row r="950" spans="9:14" ht="14.25" customHeight="1">
      <c r="I950" s="6"/>
      <c r="J950" s="55"/>
      <c r="K950" s="55"/>
      <c r="L950" s="6"/>
      <c r="M950" s="16"/>
      <c r="N950" s="94"/>
    </row>
    <row r="951" spans="1:15" s="3" customFormat="1" ht="15.75">
      <c r="A951"/>
      <c r="B951" s="195"/>
      <c r="C951" s="195"/>
      <c r="D951" s="195"/>
      <c r="E951" s="732"/>
      <c r="F951" s="198"/>
      <c r="G951" s="195"/>
      <c r="H951" s="195"/>
      <c r="I951" s="248" t="s">
        <v>240</v>
      </c>
      <c r="J951" s="61"/>
      <c r="K951" s="8"/>
      <c r="L951"/>
      <c r="M951" s="5"/>
      <c r="N951" s="94"/>
      <c r="O951" s="24"/>
    </row>
    <row r="952" spans="2:15" ht="12.75">
      <c r="B952" s="195">
        <v>22.1</v>
      </c>
      <c r="C952" s="195">
        <v>36.5</v>
      </c>
      <c r="D952" s="195">
        <v>1.4</v>
      </c>
      <c r="F952" s="198">
        <v>1218</v>
      </c>
      <c r="G952" s="195">
        <f>B952/F952*1000</f>
        <v>18.14449917898194</v>
      </c>
      <c r="H952" s="1212">
        <f>M952/F952*100000</f>
        <v>765.7361795292832</v>
      </c>
      <c r="I952" s="40" t="s">
        <v>2776</v>
      </c>
      <c r="J952" s="61"/>
      <c r="K952" s="61">
        <v>13.99</v>
      </c>
      <c r="L952" s="40">
        <v>1500</v>
      </c>
      <c r="M952" s="41">
        <f>K952/L952*1000</f>
        <v>9.326666666666668</v>
      </c>
      <c r="N952" s="94"/>
      <c r="O952" s="24" t="s">
        <v>2988</v>
      </c>
    </row>
    <row r="953" spans="6:15" ht="12.75">
      <c r="F953" s="198">
        <v>449</v>
      </c>
      <c r="G953" s="195">
        <f>B953/F953*1000</f>
        <v>0</v>
      </c>
      <c r="H953" s="1212">
        <f>M953/F953*100000</f>
        <v>1915.3674832962135</v>
      </c>
      <c r="I953" s="40" t="s">
        <v>241</v>
      </c>
      <c r="J953" s="61"/>
      <c r="K953" s="61">
        <v>25.8</v>
      </c>
      <c r="L953" s="40">
        <v>3000</v>
      </c>
      <c r="M953" s="41">
        <f>K953/L953*1000</f>
        <v>8.6</v>
      </c>
      <c r="N953" s="94"/>
      <c r="O953" s="24" t="s">
        <v>2988</v>
      </c>
    </row>
    <row r="954" spans="8:14" ht="12.75">
      <c r="H954" s="1212"/>
      <c r="I954" s="40"/>
      <c r="J954" s="61"/>
      <c r="K954" s="61"/>
      <c r="L954" s="40"/>
      <c r="M954" s="41"/>
      <c r="N954" s="94"/>
    </row>
    <row r="955" spans="9:14" ht="13.5" customHeight="1">
      <c r="I955" s="248" t="s">
        <v>1033</v>
      </c>
      <c r="J955" s="55"/>
      <c r="K955" s="55"/>
      <c r="L955" s="6"/>
      <c r="M955" s="16"/>
      <c r="N955" s="94"/>
    </row>
    <row r="956" spans="2:15" s="3" customFormat="1" ht="12.75">
      <c r="B956" s="196">
        <v>6.9</v>
      </c>
      <c r="C956" s="196">
        <v>22.7</v>
      </c>
      <c r="D956" s="196">
        <v>0.2</v>
      </c>
      <c r="E956" s="738"/>
      <c r="F956" s="199">
        <v>502</v>
      </c>
      <c r="G956" s="195">
        <f>B956/F956*1000</f>
        <v>13.745019920318727</v>
      </c>
      <c r="H956" s="195"/>
      <c r="I956" s="728" t="s">
        <v>479</v>
      </c>
      <c r="J956" s="602"/>
      <c r="K956" s="98">
        <v>1.09</v>
      </c>
      <c r="L956" s="640">
        <v>240</v>
      </c>
      <c r="M956" s="98">
        <f>K956/L956*1000</f>
        <v>4.541666666666667</v>
      </c>
      <c r="N956" s="698"/>
      <c r="O956" s="50" t="s">
        <v>1742</v>
      </c>
    </row>
    <row r="957" spans="2:15" s="3" customFormat="1" ht="12.75">
      <c r="B957" s="196">
        <v>6.9</v>
      </c>
      <c r="C957" s="196">
        <v>22.7</v>
      </c>
      <c r="D957" s="196">
        <v>0.2</v>
      </c>
      <c r="E957" s="738"/>
      <c r="F957" s="199">
        <v>502</v>
      </c>
      <c r="G957" s="195">
        <f>B957/F957*1000</f>
        <v>13.745019920318727</v>
      </c>
      <c r="H957" s="195"/>
      <c r="I957" s="485" t="s">
        <v>479</v>
      </c>
      <c r="J957" s="729"/>
      <c r="K957" s="111">
        <v>0.99</v>
      </c>
      <c r="L957" s="989">
        <v>225</v>
      </c>
      <c r="M957" s="111">
        <f>K957/L957*1000</f>
        <v>4.4</v>
      </c>
      <c r="N957" s="698"/>
      <c r="O957" s="50" t="s">
        <v>1286</v>
      </c>
    </row>
    <row r="958" spans="9:14" ht="14.25" customHeight="1">
      <c r="I958" s="248"/>
      <c r="J958" s="55"/>
      <c r="K958" s="55"/>
      <c r="L958" s="6"/>
      <c r="M958" s="16"/>
      <c r="N958" s="94"/>
    </row>
    <row r="959" spans="9:15" ht="14.25" customHeight="1">
      <c r="I959" s="697" t="s">
        <v>747</v>
      </c>
      <c r="J959" s="55"/>
      <c r="K959" s="98">
        <v>1.09</v>
      </c>
      <c r="L959" s="640">
        <v>240</v>
      </c>
      <c r="M959" s="98">
        <f>K959/L959*1000</f>
        <v>4.541666666666667</v>
      </c>
      <c r="N959" s="698"/>
      <c r="O959" s="50" t="s">
        <v>2721</v>
      </c>
    </row>
    <row r="960" spans="9:15" ht="14.25" customHeight="1">
      <c r="I960" s="485" t="s">
        <v>747</v>
      </c>
      <c r="J960" s="96"/>
      <c r="K960" s="111">
        <v>0.99</v>
      </c>
      <c r="L960" s="989">
        <v>225</v>
      </c>
      <c r="M960" s="111">
        <f>K960/L960*1000</f>
        <v>4.4</v>
      </c>
      <c r="N960" s="698"/>
      <c r="O960" s="224" t="s">
        <v>1145</v>
      </c>
    </row>
    <row r="961" spans="9:14" ht="14.25" customHeight="1">
      <c r="I961" s="248"/>
      <c r="J961" s="55"/>
      <c r="K961" s="55"/>
      <c r="L961" s="6"/>
      <c r="M961" s="16"/>
      <c r="N961" s="94"/>
    </row>
    <row r="962" spans="9:14" ht="14.25" customHeight="1">
      <c r="I962" s="6"/>
      <c r="J962" s="55"/>
      <c r="K962" s="55"/>
      <c r="L962" s="6"/>
      <c r="M962" s="16"/>
      <c r="N962" s="94"/>
    </row>
    <row r="963" spans="9:14" ht="12.75">
      <c r="I963" s="6"/>
      <c r="J963" s="55"/>
      <c r="K963" s="55"/>
      <c r="L963" s="6"/>
      <c r="M963" s="16"/>
      <c r="N963" s="7"/>
    </row>
    <row r="964" spans="2:15" ht="12.75">
      <c r="B964" s="195">
        <v>3</v>
      </c>
      <c r="C964" s="195">
        <v>19</v>
      </c>
      <c r="D964" s="195">
        <v>14</v>
      </c>
      <c r="F964" s="198">
        <f>210*4.18</f>
        <v>877.8</v>
      </c>
      <c r="G964" s="195">
        <f>B964/F964*1000</f>
        <v>3.4176349965823656</v>
      </c>
      <c r="I964" s="37" t="s">
        <v>290</v>
      </c>
      <c r="J964" s="55"/>
      <c r="K964" s="38">
        <v>1.81</v>
      </c>
      <c r="L964" s="37">
        <v>100</v>
      </c>
      <c r="M964" s="25">
        <f aca="true" t="shared" si="65" ref="M964:M972">K964/L964*1000</f>
        <v>18.1</v>
      </c>
      <c r="N964" s="7"/>
      <c r="O964" s="24" t="s">
        <v>1639</v>
      </c>
    </row>
    <row r="965" spans="9:15" ht="12.75">
      <c r="I965" s="6" t="s">
        <v>2831</v>
      </c>
      <c r="J965" s="55"/>
      <c r="K965" s="55">
        <v>1.79</v>
      </c>
      <c r="L965" s="6">
        <v>280</v>
      </c>
      <c r="M965" s="16">
        <f>K965/L965*1000</f>
        <v>6.392857142857143</v>
      </c>
      <c r="N965" s="7"/>
      <c r="O965" s="24" t="s">
        <v>2731</v>
      </c>
    </row>
    <row r="966" spans="9:15" ht="12.75">
      <c r="I966" s="6" t="s">
        <v>2832</v>
      </c>
      <c r="J966" s="55"/>
      <c r="K966" s="55">
        <v>1.79</v>
      </c>
      <c r="L966" s="6">
        <v>280</v>
      </c>
      <c r="M966" s="16">
        <f t="shared" si="65"/>
        <v>6.392857142857143</v>
      </c>
      <c r="N966" s="7"/>
      <c r="O966" s="24" t="s">
        <v>2670</v>
      </c>
    </row>
    <row r="967" spans="2:15" ht="12.75">
      <c r="B967" s="195">
        <v>3</v>
      </c>
      <c r="C967" s="195">
        <v>19</v>
      </c>
      <c r="D967" s="195">
        <v>14</v>
      </c>
      <c r="F967" s="198">
        <f>210*4.18</f>
        <v>877.8</v>
      </c>
      <c r="G967" s="195">
        <f>B967/F967*1000</f>
        <v>3.4176349965823656</v>
      </c>
      <c r="I967" s="6" t="s">
        <v>1018</v>
      </c>
      <c r="J967" s="55"/>
      <c r="K967" s="55">
        <v>1.79</v>
      </c>
      <c r="L967" s="6">
        <v>280</v>
      </c>
      <c r="M967" s="16">
        <f t="shared" si="65"/>
        <v>6.392857142857143</v>
      </c>
      <c r="N967" s="7"/>
      <c r="O967" s="24" t="s">
        <v>1147</v>
      </c>
    </row>
    <row r="968" spans="2:15" ht="12.75">
      <c r="B968" s="195">
        <v>3</v>
      </c>
      <c r="C968" s="195">
        <v>19</v>
      </c>
      <c r="D968" s="195">
        <v>14</v>
      </c>
      <c r="F968" s="198">
        <f>210*4.18</f>
        <v>877.8</v>
      </c>
      <c r="G968" s="195">
        <f>B968/F968*1000</f>
        <v>3.4176349965823656</v>
      </c>
      <c r="I968" s="28" t="s">
        <v>2495</v>
      </c>
      <c r="J968" s="96"/>
      <c r="K968" s="96">
        <v>1.69</v>
      </c>
      <c r="L968" s="28">
        <v>280</v>
      </c>
      <c r="M968" s="29">
        <f t="shared" si="65"/>
        <v>6.035714285714286</v>
      </c>
      <c r="N968" s="7"/>
      <c r="O968" s="24" t="s">
        <v>1320</v>
      </c>
    </row>
    <row r="969" spans="9:15" ht="12.75">
      <c r="I969" s="56" t="s">
        <v>925</v>
      </c>
      <c r="J969" s="55"/>
      <c r="K969" s="156">
        <v>1.79</v>
      </c>
      <c r="L969" s="56">
        <v>400</v>
      </c>
      <c r="M969" s="57">
        <f t="shared" si="65"/>
        <v>4.475</v>
      </c>
      <c r="N969" s="20" t="s">
        <v>555</v>
      </c>
      <c r="O969" s="24" t="s">
        <v>959</v>
      </c>
    </row>
    <row r="970" spans="9:15" ht="12.75">
      <c r="I970" s="37" t="s">
        <v>477</v>
      </c>
      <c r="J970" s="66">
        <v>3.99</v>
      </c>
      <c r="K970" s="8">
        <f>J970*0.99</f>
        <v>3.9501000000000004</v>
      </c>
      <c r="L970">
        <v>190</v>
      </c>
      <c r="M970" s="5">
        <f>K970/L970*1000</f>
        <v>20.790000000000003</v>
      </c>
      <c r="O970" s="51" t="s">
        <v>2120</v>
      </c>
    </row>
    <row r="971" spans="9:15" ht="12.75">
      <c r="I971" s="37" t="s">
        <v>497</v>
      </c>
      <c r="J971" s="66"/>
      <c r="K971" s="8">
        <v>3.89</v>
      </c>
      <c r="L971">
        <v>280</v>
      </c>
      <c r="M971" s="5">
        <f>K971/L971*1000</f>
        <v>13.892857142857142</v>
      </c>
      <c r="O971" s="51" t="s">
        <v>1904</v>
      </c>
    </row>
    <row r="972" spans="9:15" ht="12.75">
      <c r="I972" s="2" t="s">
        <v>783</v>
      </c>
      <c r="J972" s="66"/>
      <c r="K972" s="8">
        <v>3.59</v>
      </c>
      <c r="L972">
        <v>280</v>
      </c>
      <c r="M972" s="5">
        <f t="shared" si="65"/>
        <v>12.821428571428571</v>
      </c>
      <c r="N972" s="381" t="s">
        <v>3028</v>
      </c>
      <c r="O972" s="88" t="s">
        <v>1646</v>
      </c>
    </row>
    <row r="973" spans="9:14" ht="12.75">
      <c r="I973" s="6"/>
      <c r="J973" s="55"/>
      <c r="K973" s="55"/>
      <c r="L973" s="6"/>
      <c r="M973" s="16"/>
      <c r="N973" s="7"/>
    </row>
    <row r="974" spans="9:13" ht="15.75">
      <c r="I974" s="91" t="s">
        <v>2806</v>
      </c>
      <c r="J974" s="61"/>
      <c r="K974" s="61"/>
      <c r="L974" s="40"/>
      <c r="M974" s="41"/>
    </row>
    <row r="975" spans="9:13" ht="15.75">
      <c r="I975" s="52"/>
      <c r="J975" s="61"/>
      <c r="K975" s="61"/>
      <c r="L975" s="40"/>
      <c r="M975" s="41"/>
    </row>
    <row r="976" spans="9:13" ht="15.75">
      <c r="I976" s="226" t="s">
        <v>1865</v>
      </c>
      <c r="J976" s="61"/>
      <c r="K976" s="61"/>
      <c r="L976" s="40"/>
      <c r="M976" s="41"/>
    </row>
    <row r="977" spans="9:15" ht="12.75">
      <c r="I977" s="43" t="s">
        <v>1623</v>
      </c>
      <c r="J977" s="66">
        <v>1.69</v>
      </c>
      <c r="K977" s="8">
        <f>J977*0.97</f>
        <v>1.6393</v>
      </c>
      <c r="L977" s="31">
        <v>330</v>
      </c>
      <c r="M977" s="32">
        <f>K977/L977*1000</f>
        <v>4.967575757575758</v>
      </c>
      <c r="N977" s="7"/>
      <c r="O977" s="24" t="s">
        <v>943</v>
      </c>
    </row>
    <row r="978" spans="9:15" ht="12.75">
      <c r="I978" s="31" t="s">
        <v>3103</v>
      </c>
      <c r="J978" s="66"/>
      <c r="K978" s="66">
        <v>2.19</v>
      </c>
      <c r="L978" s="31">
        <v>500</v>
      </c>
      <c r="M978" s="32">
        <f>K978/L978*1000</f>
        <v>4.38</v>
      </c>
      <c r="N978" s="7"/>
      <c r="O978" s="24" t="s">
        <v>943</v>
      </c>
    </row>
    <row r="979" spans="9:15" ht="12.75">
      <c r="I979" s="31" t="s">
        <v>2232</v>
      </c>
      <c r="J979" s="66"/>
      <c r="K979" s="66">
        <v>2.29</v>
      </c>
      <c r="L979" s="31">
        <v>500</v>
      </c>
      <c r="M979" s="32">
        <f>K979/L979*1000</f>
        <v>4.58</v>
      </c>
      <c r="N979" s="7"/>
      <c r="O979" s="24" t="s">
        <v>943</v>
      </c>
    </row>
    <row r="980" spans="9:10" ht="15.75">
      <c r="I980" s="52" t="s">
        <v>1201</v>
      </c>
      <c r="J980" s="151"/>
    </row>
    <row r="981" spans="2:15" ht="12.75">
      <c r="B981" s="195">
        <v>23.4</v>
      </c>
      <c r="C981" s="195">
        <v>40.5</v>
      </c>
      <c r="D981" s="195">
        <v>1.6</v>
      </c>
      <c r="F981" s="198">
        <v>1147</v>
      </c>
      <c r="G981" s="195">
        <f>B981/F981*1000</f>
        <v>20.40104620749782</v>
      </c>
      <c r="I981" s="40" t="s">
        <v>3114</v>
      </c>
      <c r="K981" s="8">
        <v>2.39</v>
      </c>
      <c r="L981">
        <v>500</v>
      </c>
      <c r="M981" s="5">
        <f aca="true" t="shared" si="66" ref="M981:M986">K981/L981*1000</f>
        <v>4.78</v>
      </c>
      <c r="O981" s="88" t="s">
        <v>644</v>
      </c>
    </row>
    <row r="982" spans="9:15" ht="12.75">
      <c r="I982" s="40" t="s">
        <v>1245</v>
      </c>
      <c r="K982" s="8">
        <v>2.59</v>
      </c>
      <c r="L982">
        <v>500</v>
      </c>
      <c r="M982" s="5">
        <f t="shared" si="66"/>
        <v>5.18</v>
      </c>
      <c r="O982" s="88" t="s">
        <v>1244</v>
      </c>
    </row>
    <row r="983" spans="9:15" ht="12.75">
      <c r="I983" s="59" t="s">
        <v>1378</v>
      </c>
      <c r="K983" s="8">
        <v>1.99</v>
      </c>
      <c r="L983">
        <v>500</v>
      </c>
      <c r="M983" s="5">
        <f t="shared" si="66"/>
        <v>3.98</v>
      </c>
      <c r="O983" s="88" t="s">
        <v>1539</v>
      </c>
    </row>
    <row r="984" spans="9:15" ht="12.75">
      <c r="I984" s="71" t="s">
        <v>1582</v>
      </c>
      <c r="J984" s="96"/>
      <c r="K984" s="111">
        <v>1.69</v>
      </c>
      <c r="L984" s="30">
        <v>500</v>
      </c>
      <c r="M984" s="29">
        <f t="shared" si="66"/>
        <v>3.38</v>
      </c>
      <c r="O984" s="88" t="s">
        <v>1244</v>
      </c>
    </row>
    <row r="985" spans="9:15" ht="12.75">
      <c r="I985" s="71" t="s">
        <v>1582</v>
      </c>
      <c r="J985" s="96"/>
      <c r="K985" s="111">
        <v>1.49</v>
      </c>
      <c r="L985" s="30">
        <v>500</v>
      </c>
      <c r="M985" s="29">
        <f t="shared" si="66"/>
        <v>2.98</v>
      </c>
      <c r="O985" s="88" t="s">
        <v>1872</v>
      </c>
    </row>
    <row r="986" spans="9:15" ht="12.75">
      <c r="I986" s="209" t="s">
        <v>2148</v>
      </c>
      <c r="J986" s="4">
        <v>2.49</v>
      </c>
      <c r="K986" s="8">
        <f>J986*0.97</f>
        <v>2.4153000000000002</v>
      </c>
      <c r="L986">
        <v>750</v>
      </c>
      <c r="M986" s="5">
        <f t="shared" si="66"/>
        <v>3.2204000000000006</v>
      </c>
      <c r="O986" s="88" t="s">
        <v>455</v>
      </c>
    </row>
    <row r="987" spans="9:10" ht="15.75">
      <c r="I987" s="178" t="s">
        <v>2609</v>
      </c>
      <c r="J987" s="151"/>
    </row>
    <row r="988" spans="2:15" ht="12.75">
      <c r="B988" s="195">
        <v>19</v>
      </c>
      <c r="C988" s="195">
        <v>50</v>
      </c>
      <c r="D988" s="195">
        <v>6.3</v>
      </c>
      <c r="F988" s="198">
        <v>1219</v>
      </c>
      <c r="G988" s="195">
        <f>B988/F988*1000</f>
        <v>15.586546349466776</v>
      </c>
      <c r="I988" s="97" t="s">
        <v>2967</v>
      </c>
      <c r="K988" s="8">
        <v>2.59</v>
      </c>
      <c r="L988">
        <v>500</v>
      </c>
      <c r="M988" s="5">
        <f>K988/L988*1000</f>
        <v>5.18</v>
      </c>
      <c r="N988" s="381"/>
      <c r="O988" s="88" t="s">
        <v>2610</v>
      </c>
    </row>
    <row r="989" spans="2:15" ht="12.75">
      <c r="B989" s="195">
        <v>24</v>
      </c>
      <c r="C989" s="195">
        <v>57</v>
      </c>
      <c r="D989" s="195">
        <v>1.7</v>
      </c>
      <c r="F989" s="198">
        <v>1522</v>
      </c>
      <c r="G989" s="195">
        <f>B989/F989*1000</f>
        <v>15.768725361366622</v>
      </c>
      <c r="I989" s="59" t="s">
        <v>405</v>
      </c>
      <c r="K989" s="8">
        <v>2.29</v>
      </c>
      <c r="L989">
        <v>500</v>
      </c>
      <c r="M989" s="5">
        <f aca="true" t="shared" si="67" ref="M989:M994">K989/L989*1000</f>
        <v>4.58</v>
      </c>
      <c r="N989" s="381"/>
      <c r="O989" s="88" t="s">
        <v>2610</v>
      </c>
    </row>
    <row r="990" spans="2:15" ht="12.75">
      <c r="B990" s="195">
        <v>23.4</v>
      </c>
      <c r="C990" s="195">
        <v>57.8</v>
      </c>
      <c r="D990" s="195">
        <v>1.5</v>
      </c>
      <c r="F990" s="198">
        <v>1521</v>
      </c>
      <c r="G990" s="195">
        <f>B990/F990*1000</f>
        <v>15.384615384615383</v>
      </c>
      <c r="I990" s="2" t="s">
        <v>620</v>
      </c>
      <c r="K990" s="8">
        <v>2.49</v>
      </c>
      <c r="L990">
        <v>500</v>
      </c>
      <c r="M990" s="5">
        <f t="shared" si="67"/>
        <v>4.98</v>
      </c>
      <c r="N990" s="381"/>
      <c r="O990" s="88" t="s">
        <v>890</v>
      </c>
    </row>
    <row r="991" spans="2:15" ht="12.75">
      <c r="B991" s="195">
        <v>28</v>
      </c>
      <c r="C991" s="195">
        <v>48</v>
      </c>
      <c r="D991" s="195">
        <v>2.2</v>
      </c>
      <c r="F991" s="198">
        <v>1469</v>
      </c>
      <c r="G991" s="195">
        <f>B991/F991*1000</f>
        <v>19.060585432266848</v>
      </c>
      <c r="I991" s="2" t="s">
        <v>1850</v>
      </c>
      <c r="J991" s="4">
        <v>4.49</v>
      </c>
      <c r="K991" s="8">
        <f>J991*0.97</f>
        <v>4.3553</v>
      </c>
      <c r="L991">
        <v>750</v>
      </c>
      <c r="M991" s="5">
        <f t="shared" si="67"/>
        <v>5.807066666666666</v>
      </c>
      <c r="N991" s="381"/>
      <c r="O991" s="88" t="s">
        <v>754</v>
      </c>
    </row>
    <row r="992" spans="9:15" ht="12.75">
      <c r="I992" s="31" t="s">
        <v>1850</v>
      </c>
      <c r="J992" s="4">
        <v>4.49</v>
      </c>
      <c r="K992" s="8">
        <f>J992*0.97</f>
        <v>4.3553</v>
      </c>
      <c r="L992">
        <v>750</v>
      </c>
      <c r="M992" s="5">
        <f t="shared" si="67"/>
        <v>5.807066666666666</v>
      </c>
      <c r="N992" s="381"/>
      <c r="O992" s="88" t="s">
        <v>2575</v>
      </c>
    </row>
    <row r="993" spans="9:15" ht="12.75">
      <c r="I993" s="71" t="s">
        <v>2148</v>
      </c>
      <c r="J993" s="96">
        <v>2.79</v>
      </c>
      <c r="K993" s="111">
        <f>J993*0.97</f>
        <v>2.7063</v>
      </c>
      <c r="L993" s="30">
        <v>750</v>
      </c>
      <c r="M993" s="29">
        <f t="shared" si="67"/>
        <v>3.6084000000000005</v>
      </c>
      <c r="N993" s="381"/>
      <c r="O993" s="88" t="s">
        <v>252</v>
      </c>
    </row>
    <row r="994" spans="9:15" ht="12.75">
      <c r="I994" s="71" t="s">
        <v>2148</v>
      </c>
      <c r="J994" s="96">
        <v>2.49</v>
      </c>
      <c r="K994" s="111">
        <f>J994*0.97</f>
        <v>2.4153000000000002</v>
      </c>
      <c r="L994" s="30">
        <v>750</v>
      </c>
      <c r="M994" s="29">
        <f t="shared" si="67"/>
        <v>3.2204000000000006</v>
      </c>
      <c r="O994" s="88" t="s">
        <v>326</v>
      </c>
    </row>
    <row r="995" spans="9:15" ht="12.75">
      <c r="I995" s="59" t="s">
        <v>1802</v>
      </c>
      <c r="K995" s="8"/>
      <c r="M995" s="5">
        <v>2.9</v>
      </c>
      <c r="N995" s="381" t="s">
        <v>3028</v>
      </c>
      <c r="O995" s="88" t="s">
        <v>1155</v>
      </c>
    </row>
    <row r="996" spans="9:15" ht="12.75">
      <c r="I996" s="209" t="s">
        <v>2141</v>
      </c>
      <c r="K996" s="8">
        <v>2.69</v>
      </c>
      <c r="L996">
        <v>500</v>
      </c>
      <c r="M996" s="5">
        <f>K996/L996*1000</f>
        <v>5.38</v>
      </c>
      <c r="O996" s="88" t="s">
        <v>890</v>
      </c>
    </row>
    <row r="997" spans="9:15" ht="12.75">
      <c r="I997" s="59"/>
      <c r="K997" s="8"/>
      <c r="M997" s="5"/>
      <c r="N997" s="381"/>
      <c r="O997" s="88"/>
    </row>
    <row r="998" spans="9:15" ht="12.75">
      <c r="I998" s="59"/>
      <c r="K998" s="8"/>
      <c r="M998" s="5"/>
      <c r="N998" s="108"/>
      <c r="O998" s="88"/>
    </row>
    <row r="999" ht="12.75">
      <c r="K999" s="8"/>
    </row>
    <row r="1000" spans="9:10" ht="18">
      <c r="I1000" s="1116" t="s">
        <v>484</v>
      </c>
      <c r="J1000" s="153"/>
    </row>
    <row r="1001" spans="2:15" ht="13.5" customHeight="1">
      <c r="B1001" s="195">
        <v>10.6</v>
      </c>
      <c r="C1001" s="195">
        <v>0.6</v>
      </c>
      <c r="D1001" s="195">
        <v>5.3</v>
      </c>
      <c r="F1001" s="198">
        <v>387</v>
      </c>
      <c r="G1001" s="195">
        <f>B1001/F1001*1000</f>
        <v>27.39018087855297</v>
      </c>
      <c r="H1001" s="1212">
        <f>M1001/F1001*100000</f>
        <v>2285.386161355154</v>
      </c>
      <c r="I1001" s="37" t="s">
        <v>1041</v>
      </c>
      <c r="J1001" s="66"/>
      <c r="K1001" s="5">
        <v>1.99</v>
      </c>
      <c r="L1001">
        <v>225</v>
      </c>
      <c r="M1001" s="41">
        <f>K1001/L1001*1000</f>
        <v>8.844444444444445</v>
      </c>
      <c r="N1001" s="63"/>
      <c r="O1001" s="24" t="s">
        <v>1583</v>
      </c>
    </row>
    <row r="1002" spans="2:15" ht="13.5" customHeight="1">
      <c r="B1002" s="195">
        <v>10.6</v>
      </c>
      <c r="C1002" s="195">
        <v>0.6</v>
      </c>
      <c r="D1002" s="195">
        <v>5.3</v>
      </c>
      <c r="F1002" s="198">
        <v>387</v>
      </c>
      <c r="G1002" s="195">
        <f>B1002/F1002*1000</f>
        <v>27.39018087855297</v>
      </c>
      <c r="H1002" s="1212">
        <f>M1002/F1002*100000</f>
        <v>1838.4496124031007</v>
      </c>
      <c r="I1002" s="97" t="s">
        <v>463</v>
      </c>
      <c r="J1002" s="66">
        <v>5.39</v>
      </c>
      <c r="K1002" s="5">
        <f>J1002*0.99</f>
        <v>5.3361</v>
      </c>
      <c r="L1002">
        <v>750</v>
      </c>
      <c r="M1002" s="41">
        <f aca="true" t="shared" si="68" ref="M1002:M1007">K1002/L1002*1000</f>
        <v>7.1148</v>
      </c>
      <c r="N1002" s="63"/>
      <c r="O1002" s="24" t="s">
        <v>1583</v>
      </c>
    </row>
    <row r="1003" spans="8:15" ht="13.5" customHeight="1">
      <c r="H1003" s="1212"/>
      <c r="I1003" s="59" t="s">
        <v>1129</v>
      </c>
      <c r="J1003" s="66">
        <v>1.79</v>
      </c>
      <c r="K1003" s="5">
        <f>J1003*0.99</f>
        <v>1.7721</v>
      </c>
      <c r="L1003">
        <v>300</v>
      </c>
      <c r="M1003" s="41">
        <f t="shared" si="68"/>
        <v>5.907</v>
      </c>
      <c r="N1003" s="63"/>
      <c r="O1003" s="24" t="s">
        <v>1868</v>
      </c>
    </row>
    <row r="1004" spans="8:15" ht="13.5" customHeight="1">
      <c r="H1004" s="1212"/>
      <c r="I1004" s="59" t="s">
        <v>1080</v>
      </c>
      <c r="J1004" s="153"/>
      <c r="K1004" s="5">
        <v>1.29</v>
      </c>
      <c r="L1004">
        <v>250</v>
      </c>
      <c r="M1004" s="62">
        <f t="shared" si="68"/>
        <v>5.16</v>
      </c>
      <c r="N1004" s="63" t="s">
        <v>1362</v>
      </c>
      <c r="O1004" s="24" t="s">
        <v>2568</v>
      </c>
    </row>
    <row r="1005" spans="2:15" ht="13.5" customHeight="1" thickBot="1">
      <c r="B1005" s="195">
        <v>10.6</v>
      </c>
      <c r="C1005" s="195">
        <v>2.9</v>
      </c>
      <c r="D1005" s="195">
        <v>5.3</v>
      </c>
      <c r="F1005" s="198">
        <v>438</v>
      </c>
      <c r="G1005" s="195">
        <f>B1005/F1005*1000</f>
        <v>24.200913242009133</v>
      </c>
      <c r="H1005" s="1212">
        <f>M1005/F1005*100000</f>
        <v>2111.872146118722</v>
      </c>
      <c r="I1005" s="37" t="s">
        <v>2134</v>
      </c>
      <c r="J1005" s="153"/>
      <c r="K1005" s="5">
        <v>1.85</v>
      </c>
      <c r="L1005">
        <v>200</v>
      </c>
      <c r="M1005" s="32">
        <f t="shared" si="68"/>
        <v>9.250000000000002</v>
      </c>
      <c r="N1005" s="63"/>
      <c r="O1005" s="24" t="s">
        <v>1705</v>
      </c>
    </row>
    <row r="1006" spans="2:15" ht="12.75">
      <c r="B1006" s="195">
        <v>10.6</v>
      </c>
      <c r="C1006" s="815">
        <v>2.9</v>
      </c>
      <c r="D1006" s="195">
        <v>5.3</v>
      </c>
      <c r="F1006" s="198">
        <v>426</v>
      </c>
      <c r="G1006" s="195">
        <f>B1006/F1006*1000</f>
        <v>24.88262910798122</v>
      </c>
      <c r="H1006" s="1212">
        <f>M1006/F1006*100000</f>
        <v>1399.0610328638497</v>
      </c>
      <c r="I1006" s="97" t="s">
        <v>1387</v>
      </c>
      <c r="J1006" s="151"/>
      <c r="K1006" s="32">
        <v>1.49</v>
      </c>
      <c r="L1006" s="33">
        <v>250</v>
      </c>
      <c r="M1006" s="32">
        <f t="shared" si="68"/>
        <v>5.96</v>
      </c>
      <c r="N1006" s="33" t="s">
        <v>1362</v>
      </c>
      <c r="O1006" s="88" t="s">
        <v>1663</v>
      </c>
    </row>
    <row r="1007" spans="2:15" ht="13.5" thickBot="1">
      <c r="B1007" s="195">
        <v>10.6</v>
      </c>
      <c r="C1007" s="816">
        <v>0.6</v>
      </c>
      <c r="D1007" s="195">
        <v>5.3</v>
      </c>
      <c r="F1007" s="198">
        <v>387</v>
      </c>
      <c r="G1007" s="195">
        <f>B1007/F1007*1000</f>
        <v>27.39018087855297</v>
      </c>
      <c r="H1007" s="1212"/>
      <c r="I1007" s="2" t="s">
        <v>733</v>
      </c>
      <c r="J1007" s="165" t="s">
        <v>1797</v>
      </c>
      <c r="K1007" s="95"/>
      <c r="L1007" s="33">
        <v>225</v>
      </c>
      <c r="M1007" s="32">
        <f t="shared" si="68"/>
        <v>0</v>
      </c>
      <c r="N1007" s="33"/>
      <c r="O1007" s="102" t="s">
        <v>2127</v>
      </c>
    </row>
    <row r="1008" spans="8:15" ht="12.75">
      <c r="H1008" s="1212"/>
      <c r="I1008" s="2" t="s">
        <v>1798</v>
      </c>
      <c r="J1008" s="66">
        <v>2.59</v>
      </c>
      <c r="K1008" s="95">
        <f>J1008*0.97</f>
        <v>2.5122999999999998</v>
      </c>
      <c r="L1008" s="33">
        <v>340</v>
      </c>
      <c r="M1008" s="32">
        <f aca="true" t="shared" si="69" ref="M1008:M1016">K1008/L1008*1000</f>
        <v>7.389117647058823</v>
      </c>
      <c r="N1008" s="33"/>
      <c r="O1008" s="102" t="s">
        <v>1872</v>
      </c>
    </row>
    <row r="1009" spans="9:15" ht="12.75">
      <c r="I1009" s="71" t="s">
        <v>1798</v>
      </c>
      <c r="J1009" s="96">
        <v>0.99</v>
      </c>
      <c r="K1009" s="111">
        <f>J1009*0.97</f>
        <v>0.9602999999999999</v>
      </c>
      <c r="L1009" s="30">
        <v>135</v>
      </c>
      <c r="M1009" s="29">
        <f t="shared" si="69"/>
        <v>7.113333333333332</v>
      </c>
      <c r="N1009" s="30" t="s">
        <v>1362</v>
      </c>
      <c r="O1009" s="102" t="s">
        <v>1456</v>
      </c>
    </row>
    <row r="1010" spans="2:15" s="10" customFormat="1" ht="13.5" customHeight="1">
      <c r="B1010" s="218">
        <v>13.5</v>
      </c>
      <c r="C1010" s="218">
        <v>1.8</v>
      </c>
      <c r="D1010" s="218">
        <v>7.5</v>
      </c>
      <c r="E1010" s="737"/>
      <c r="F1010" s="219">
        <v>538</v>
      </c>
      <c r="G1010" s="195">
        <f>B1010/F1010*1000</f>
        <v>25.092936802973977</v>
      </c>
      <c r="H1010" s="195"/>
      <c r="I1010" s="221" t="s">
        <v>206</v>
      </c>
      <c r="J1010" s="4">
        <v>2.49</v>
      </c>
      <c r="K1010" s="8">
        <f>J1010*0.97</f>
        <v>2.4153000000000002</v>
      </c>
      <c r="L1010" s="10">
        <v>400</v>
      </c>
      <c r="M1010" s="9">
        <f t="shared" si="69"/>
        <v>6.038250000000001</v>
      </c>
      <c r="O1010" s="224" t="s">
        <v>939</v>
      </c>
    </row>
    <row r="1011" spans="9:15" ht="15">
      <c r="I1011" s="71" t="s">
        <v>207</v>
      </c>
      <c r="J1011" s="96">
        <v>2.89</v>
      </c>
      <c r="K1011" s="111">
        <f>J1011*0.97</f>
        <v>2.8033</v>
      </c>
      <c r="L1011" s="30">
        <v>300</v>
      </c>
      <c r="M1011" s="29">
        <f>K1011/L1011*1000</f>
        <v>9.344333333333333</v>
      </c>
      <c r="N1011" s="30"/>
      <c r="O1011" s="24" t="s">
        <v>354</v>
      </c>
    </row>
    <row r="1012" spans="9:15" ht="15">
      <c r="I1012" s="71" t="s">
        <v>207</v>
      </c>
      <c r="J1012" s="96">
        <v>2.69</v>
      </c>
      <c r="K1012" s="111">
        <f>J1012*0.97</f>
        <v>2.6092999999999997</v>
      </c>
      <c r="L1012" s="30">
        <v>300</v>
      </c>
      <c r="M1012" s="29">
        <f>K1012/L1012*1000</f>
        <v>8.697666666666667</v>
      </c>
      <c r="N1012" s="30"/>
      <c r="O1012" s="24" t="s">
        <v>1286</v>
      </c>
    </row>
    <row r="1013" spans="9:15" ht="12.75">
      <c r="I1013" s="71" t="s">
        <v>1130</v>
      </c>
      <c r="J1013" s="625">
        <v>2.59</v>
      </c>
      <c r="K1013" s="625">
        <f>J1013*0.99</f>
        <v>2.5641</v>
      </c>
      <c r="L1013" s="30">
        <v>300</v>
      </c>
      <c r="M1013" s="29">
        <f>K1013/L1013*1000</f>
        <v>8.546999999999999</v>
      </c>
      <c r="N1013" s="30"/>
      <c r="O1013" s="448" t="s">
        <v>1904</v>
      </c>
    </row>
    <row r="1014" spans="9:15" ht="14.25" customHeight="1">
      <c r="I1014" s="28" t="s">
        <v>1039</v>
      </c>
      <c r="J1014" s="96"/>
      <c r="K1014" s="111">
        <v>2.59</v>
      </c>
      <c r="L1014" s="30">
        <v>300</v>
      </c>
      <c r="M1014" s="29">
        <f>K1014/L1014*1000</f>
        <v>8.633333333333333</v>
      </c>
      <c r="N1014" s="30"/>
      <c r="O1014" s="24" t="s">
        <v>1904</v>
      </c>
    </row>
    <row r="1015" spans="9:15" ht="14.25" customHeight="1">
      <c r="I1015" s="71" t="s">
        <v>1040</v>
      </c>
      <c r="J1015" s="96"/>
      <c r="K1015" s="111">
        <v>2.49</v>
      </c>
      <c r="L1015" s="30">
        <v>300</v>
      </c>
      <c r="M1015" s="29">
        <f t="shared" si="69"/>
        <v>8.3</v>
      </c>
      <c r="N1015" s="30"/>
      <c r="O1015" s="24" t="s">
        <v>1595</v>
      </c>
    </row>
    <row r="1016" spans="9:15" ht="15">
      <c r="I1016" s="71" t="s">
        <v>1040</v>
      </c>
      <c r="J1016" s="96"/>
      <c r="K1016" s="111">
        <v>2.16</v>
      </c>
      <c r="L1016" s="30">
        <v>300</v>
      </c>
      <c r="M1016" s="29">
        <f t="shared" si="69"/>
        <v>7.200000000000001</v>
      </c>
      <c r="N1016" s="30"/>
      <c r="O1016" s="24" t="s">
        <v>181</v>
      </c>
    </row>
    <row r="1017" spans="2:15" s="3" customFormat="1" ht="12.75">
      <c r="B1017" s="196"/>
      <c r="C1017" s="196"/>
      <c r="D1017" s="196"/>
      <c r="E1017" s="738"/>
      <c r="F1017" s="199"/>
      <c r="G1017" s="196"/>
      <c r="H1017" s="196"/>
      <c r="I1017" s="303"/>
      <c r="J1017" s="177"/>
      <c r="K1017" s="8"/>
      <c r="M1017" s="8"/>
      <c r="O1017" s="50"/>
    </row>
    <row r="1018" spans="2:20" s="3" customFormat="1" ht="12.75">
      <c r="B1018" s="196"/>
      <c r="C1018" s="196"/>
      <c r="D1018" s="196"/>
      <c r="E1018" s="738"/>
      <c r="F1018" s="199"/>
      <c r="G1018" s="196"/>
      <c r="H1018" s="196"/>
      <c r="I1018" s="298"/>
      <c r="J1018" s="177"/>
      <c r="K1018" s="8"/>
      <c r="M1018" s="8"/>
      <c r="N1018" s="14"/>
      <c r="O1018" s="50"/>
      <c r="T1018" s="11"/>
    </row>
    <row r="1019" spans="2:15" s="3" customFormat="1" ht="18.75" customHeight="1">
      <c r="B1019" s="196"/>
      <c r="C1019" s="196"/>
      <c r="D1019" s="196"/>
      <c r="E1019" s="738"/>
      <c r="F1019" s="199"/>
      <c r="G1019" s="196"/>
      <c r="H1019" s="196"/>
      <c r="I1019" s="178" t="s">
        <v>1615</v>
      </c>
      <c r="J1019" s="153"/>
      <c r="K1019" s="8"/>
      <c r="M1019" s="1095" t="s">
        <v>2490</v>
      </c>
      <c r="N1019" s="235" t="s">
        <v>2559</v>
      </c>
      <c r="O1019" s="50"/>
    </row>
    <row r="1020" spans="2:15" ht="13.5" customHeight="1">
      <c r="B1020" s="195">
        <v>14</v>
      </c>
      <c r="C1020" s="1175">
        <v>2.1</v>
      </c>
      <c r="D1020" s="195">
        <v>7.4</v>
      </c>
      <c r="F1020" s="198">
        <v>548</v>
      </c>
      <c r="G1020" s="195">
        <f>B1020/F1020*1000</f>
        <v>25.547445255474454</v>
      </c>
      <c r="H1020" s="1212">
        <f>M1020/F1020*100000</f>
        <v>1815.6934306569347</v>
      </c>
      <c r="I1020" s="97" t="s">
        <v>3162</v>
      </c>
      <c r="J1020" s="66"/>
      <c r="K1020" s="32">
        <v>1.99</v>
      </c>
      <c r="L1020">
        <v>200</v>
      </c>
      <c r="M1020" s="41">
        <f>K1020/L1020*1000</f>
        <v>9.950000000000001</v>
      </c>
      <c r="N1020" s="1096"/>
      <c r="O1020" s="286" t="s">
        <v>3154</v>
      </c>
    </row>
    <row r="1021" spans="2:15" ht="13.5" customHeight="1">
      <c r="B1021" s="195">
        <v>14</v>
      </c>
      <c r="C1021" s="195">
        <v>0.9</v>
      </c>
      <c r="D1021" s="195">
        <v>11</v>
      </c>
      <c r="F1021" s="198">
        <v>691</v>
      </c>
      <c r="G1021" s="195">
        <f>B1021/F1021*1000</f>
        <v>20.260492040520983</v>
      </c>
      <c r="H1021" s="1212">
        <f>M1021/F1021*100000</f>
        <v>1410.9985528219972</v>
      </c>
      <c r="I1021" s="97" t="s">
        <v>3157</v>
      </c>
      <c r="J1021" s="66"/>
      <c r="K1021" s="809">
        <v>1.95</v>
      </c>
      <c r="L1021">
        <v>200</v>
      </c>
      <c r="M1021" s="41">
        <f aca="true" t="shared" si="70" ref="M1021:M1026">K1021/L1021*1000</f>
        <v>9.75</v>
      </c>
      <c r="N1021" s="1096"/>
      <c r="O1021" s="286" t="s">
        <v>3154</v>
      </c>
    </row>
    <row r="1022" spans="2:15" ht="13.5" customHeight="1">
      <c r="B1022" s="195">
        <v>14</v>
      </c>
      <c r="C1022" s="195">
        <v>2.1</v>
      </c>
      <c r="D1022" s="195">
        <v>7.4</v>
      </c>
      <c r="F1022" s="198">
        <v>548</v>
      </c>
      <c r="G1022" s="195">
        <f aca="true" t="shared" si="71" ref="G1022:G1028">B1022/F1022*1000</f>
        <v>25.547445255474454</v>
      </c>
      <c r="H1022" s="1212">
        <f aca="true" t="shared" si="72" ref="H1022:H1028">M1022/F1022*100000</f>
        <v>1815.6934306569347</v>
      </c>
      <c r="I1022" s="97" t="s">
        <v>2222</v>
      </c>
      <c r="J1022" s="66"/>
      <c r="K1022" s="809">
        <v>1.99</v>
      </c>
      <c r="L1022">
        <v>200</v>
      </c>
      <c r="M1022" s="41">
        <f t="shared" si="70"/>
        <v>9.950000000000001</v>
      </c>
      <c r="N1022" s="1096"/>
      <c r="O1022" s="50" t="s">
        <v>3144</v>
      </c>
    </row>
    <row r="1023" spans="2:15" ht="13.5" customHeight="1">
      <c r="B1023" s="195">
        <v>14</v>
      </c>
      <c r="C1023" s="195">
        <v>1</v>
      </c>
      <c r="D1023" s="195">
        <v>10</v>
      </c>
      <c r="F1023" s="198">
        <v>632</v>
      </c>
      <c r="G1023" s="195">
        <f t="shared" si="71"/>
        <v>22.151898734177216</v>
      </c>
      <c r="H1023" s="1212">
        <f t="shared" si="72"/>
        <v>1574.367088607595</v>
      </c>
      <c r="I1023" s="97" t="s">
        <v>417</v>
      </c>
      <c r="J1023" s="66"/>
      <c r="K1023" s="809">
        <v>1.99</v>
      </c>
      <c r="L1023">
        <v>200</v>
      </c>
      <c r="M1023" s="41">
        <f t="shared" si="70"/>
        <v>9.950000000000001</v>
      </c>
      <c r="N1023" s="1096"/>
      <c r="O1023" s="50" t="s">
        <v>3144</v>
      </c>
    </row>
    <row r="1024" spans="2:15" ht="13.5" customHeight="1">
      <c r="B1024" s="195">
        <v>13</v>
      </c>
      <c r="C1024" s="195">
        <v>4.5</v>
      </c>
      <c r="D1024" s="195">
        <v>6.6</v>
      </c>
      <c r="F1024" s="198">
        <v>565</v>
      </c>
      <c r="G1024" s="195">
        <f t="shared" si="71"/>
        <v>23.008849557522122</v>
      </c>
      <c r="H1024" s="1212">
        <f t="shared" si="72"/>
        <v>1761.061946902655</v>
      </c>
      <c r="I1024" s="97" t="s">
        <v>2220</v>
      </c>
      <c r="J1024" s="66"/>
      <c r="K1024" s="809">
        <v>1.99</v>
      </c>
      <c r="L1024">
        <v>200</v>
      </c>
      <c r="M1024" s="41">
        <f t="shared" si="70"/>
        <v>9.950000000000001</v>
      </c>
      <c r="N1024" s="1096"/>
      <c r="O1024" s="50" t="s">
        <v>3144</v>
      </c>
    </row>
    <row r="1025" spans="2:15" ht="13.5" customHeight="1">
      <c r="B1025" s="195">
        <v>13</v>
      </c>
      <c r="C1025" s="195">
        <v>9.2</v>
      </c>
      <c r="D1025" s="195">
        <v>6.8</v>
      </c>
      <c r="F1025" s="198">
        <v>629</v>
      </c>
      <c r="G1025" s="195">
        <f t="shared" si="71"/>
        <v>20.66772655007949</v>
      </c>
      <c r="H1025" s="1212">
        <f t="shared" si="72"/>
        <v>1820.349761526232</v>
      </c>
      <c r="I1025" s="97" t="s">
        <v>2221</v>
      </c>
      <c r="J1025" s="66"/>
      <c r="K1025" s="5">
        <v>2.29</v>
      </c>
      <c r="L1025">
        <v>200</v>
      </c>
      <c r="M1025" s="41">
        <f t="shared" si="70"/>
        <v>11.45</v>
      </c>
      <c r="N1025" s="1096"/>
      <c r="O1025" s="24" t="s">
        <v>2514</v>
      </c>
    </row>
    <row r="1026" spans="2:15" ht="13.5" customHeight="1">
      <c r="B1026" s="195">
        <v>14</v>
      </c>
      <c r="C1026" s="195">
        <v>1</v>
      </c>
      <c r="D1026" s="195">
        <v>10</v>
      </c>
      <c r="F1026" s="198">
        <v>632</v>
      </c>
      <c r="G1026" s="195">
        <f t="shared" si="71"/>
        <v>22.151898734177216</v>
      </c>
      <c r="H1026" s="1212">
        <f t="shared" si="72"/>
        <v>1811.7088607594935</v>
      </c>
      <c r="I1026" s="119" t="s">
        <v>417</v>
      </c>
      <c r="J1026" s="160"/>
      <c r="K1026" s="18">
        <v>2.29</v>
      </c>
      <c r="L1026" s="19">
        <v>200</v>
      </c>
      <c r="M1026" s="18">
        <f t="shared" si="70"/>
        <v>11.45</v>
      </c>
      <c r="N1026" s="1096"/>
      <c r="O1026" s="24" t="s">
        <v>416</v>
      </c>
    </row>
    <row r="1027" spans="2:15" ht="13.5" customHeight="1">
      <c r="B1027" s="195">
        <v>13</v>
      </c>
      <c r="C1027" s="195">
        <v>4.5</v>
      </c>
      <c r="D1027" s="195">
        <v>6.6</v>
      </c>
      <c r="F1027" s="198">
        <v>565</v>
      </c>
      <c r="G1027" s="195">
        <f t="shared" si="71"/>
        <v>23.008849557522122</v>
      </c>
      <c r="H1027" s="1212">
        <f t="shared" si="72"/>
        <v>2026.5486725663716</v>
      </c>
      <c r="I1027" s="119" t="s">
        <v>2220</v>
      </c>
      <c r="J1027" s="160"/>
      <c r="K1027" s="18">
        <v>2.29</v>
      </c>
      <c r="L1027" s="19">
        <v>200</v>
      </c>
      <c r="M1027" s="18">
        <f aca="true" t="shared" si="73" ref="M1027:M1035">K1027/L1027*1000</f>
        <v>11.45</v>
      </c>
      <c r="N1027" s="1096"/>
      <c r="O1027" s="24" t="s">
        <v>416</v>
      </c>
    </row>
    <row r="1028" spans="2:15" ht="13.5" customHeight="1">
      <c r="B1028" s="195">
        <v>14</v>
      </c>
      <c r="C1028" s="195">
        <v>2.1</v>
      </c>
      <c r="D1028" s="195">
        <v>7.4</v>
      </c>
      <c r="F1028" s="198">
        <v>548</v>
      </c>
      <c r="G1028" s="195">
        <f t="shared" si="71"/>
        <v>25.547445255474454</v>
      </c>
      <c r="H1028" s="1212">
        <f t="shared" si="72"/>
        <v>2089.4160583941607</v>
      </c>
      <c r="I1028" s="119" t="s">
        <v>2222</v>
      </c>
      <c r="J1028" s="160"/>
      <c r="K1028" s="18">
        <v>2.29</v>
      </c>
      <c r="L1028" s="19">
        <v>200</v>
      </c>
      <c r="M1028" s="18">
        <f>K1028/L1028*1000</f>
        <v>11.45</v>
      </c>
      <c r="N1028" s="1096"/>
      <c r="O1028" s="24" t="s">
        <v>416</v>
      </c>
    </row>
    <row r="1029" spans="2:15" ht="13.5" customHeight="1">
      <c r="B1029" s="195">
        <v>17</v>
      </c>
      <c r="C1029" s="195">
        <v>5</v>
      </c>
      <c r="D1029" s="195">
        <v>16</v>
      </c>
      <c r="F1029" s="198">
        <v>984</v>
      </c>
      <c r="G1029" s="195">
        <f aca="true" t="shared" si="74" ref="G1029:G1034">B1029/F1029*1000</f>
        <v>17.276422764227643</v>
      </c>
      <c r="H1029" s="1212">
        <f aca="true" t="shared" si="75" ref="H1029:H1034">M1029/F1029*100000</f>
        <v>1620.9349593495933</v>
      </c>
      <c r="I1029" s="43" t="s">
        <v>2060</v>
      </c>
      <c r="J1029" s="66"/>
      <c r="K1029" s="5">
        <v>3.19</v>
      </c>
      <c r="L1029">
        <v>200</v>
      </c>
      <c r="M1029" s="41">
        <f t="shared" si="73"/>
        <v>15.95</v>
      </c>
      <c r="N1029" s="1096"/>
      <c r="O1029" s="24" t="s">
        <v>2058</v>
      </c>
    </row>
    <row r="1030" spans="2:15" ht="13.5" customHeight="1">
      <c r="B1030" s="195">
        <v>18</v>
      </c>
      <c r="C1030" s="195">
        <v>1.8</v>
      </c>
      <c r="D1030" s="195">
        <v>13</v>
      </c>
      <c r="F1030" s="198">
        <v>827</v>
      </c>
      <c r="G1030" s="195">
        <f t="shared" si="74"/>
        <v>21.76541717049577</v>
      </c>
      <c r="H1030" s="1212">
        <f t="shared" si="75"/>
        <v>1928.657799274486</v>
      </c>
      <c r="I1030" s="43" t="s">
        <v>2061</v>
      </c>
      <c r="J1030" s="66"/>
      <c r="K1030" s="32">
        <v>3.19</v>
      </c>
      <c r="L1030">
        <v>200</v>
      </c>
      <c r="M1030" s="41">
        <f t="shared" si="73"/>
        <v>15.95</v>
      </c>
      <c r="N1030" s="1096"/>
      <c r="O1030" s="24" t="s">
        <v>2058</v>
      </c>
    </row>
    <row r="1031" spans="2:15" ht="13.5" customHeight="1">
      <c r="B1031" s="195">
        <v>13</v>
      </c>
      <c r="C1031" s="195">
        <v>4.5</v>
      </c>
      <c r="D1031" s="195">
        <v>6.6</v>
      </c>
      <c r="F1031" s="198">
        <v>565</v>
      </c>
      <c r="G1031" s="195">
        <f t="shared" si="74"/>
        <v>23.008849557522122</v>
      </c>
      <c r="H1031" s="1212">
        <f t="shared" si="75"/>
        <v>1408.8495575221239</v>
      </c>
      <c r="I1031" s="71" t="s">
        <v>2062</v>
      </c>
      <c r="J1031" s="96"/>
      <c r="K1031" s="29">
        <v>1.99</v>
      </c>
      <c r="L1031" s="30">
        <v>250</v>
      </c>
      <c r="M1031" s="29">
        <f t="shared" si="73"/>
        <v>7.96</v>
      </c>
      <c r="N1031" s="1096"/>
      <c r="O1031" s="24" t="s">
        <v>2058</v>
      </c>
    </row>
    <row r="1032" spans="7:15" ht="13.5" customHeight="1">
      <c r="G1032" s="195" t="e">
        <f t="shared" si="74"/>
        <v>#DIV/0!</v>
      </c>
      <c r="H1032" s="1212" t="e">
        <f t="shared" si="75"/>
        <v>#DIV/0!</v>
      </c>
      <c r="I1032" s="71" t="s">
        <v>1683</v>
      </c>
      <c r="J1032" s="96"/>
      <c r="K1032" s="29">
        <v>1.99</v>
      </c>
      <c r="L1032" s="30">
        <v>250</v>
      </c>
      <c r="M1032" s="29">
        <f t="shared" si="73"/>
        <v>7.96</v>
      </c>
      <c r="N1032" s="1096"/>
      <c r="O1032" s="24" t="s">
        <v>2058</v>
      </c>
    </row>
    <row r="1033" spans="2:15" ht="13.5" customHeight="1">
      <c r="B1033" s="195">
        <v>17</v>
      </c>
      <c r="C1033" s="195">
        <v>1.6</v>
      </c>
      <c r="D1033" s="195">
        <v>12</v>
      </c>
      <c r="F1033" s="198">
        <v>783</v>
      </c>
      <c r="G1033" s="195">
        <f t="shared" si="74"/>
        <v>21.711366538952745</v>
      </c>
      <c r="H1033" s="1212">
        <f t="shared" si="75"/>
        <v>1270.7535121328226</v>
      </c>
      <c r="I1033" s="71" t="s">
        <v>2223</v>
      </c>
      <c r="J1033" s="66"/>
      <c r="K1033" s="314">
        <v>1.99</v>
      </c>
      <c r="L1033" s="315">
        <v>200</v>
      </c>
      <c r="M1033" s="314">
        <f t="shared" si="73"/>
        <v>9.950000000000001</v>
      </c>
      <c r="N1033" s="1096">
        <f>M1033/F1033*1000</f>
        <v>12.707535121328226</v>
      </c>
      <c r="O1033" s="24" t="s">
        <v>2164</v>
      </c>
    </row>
    <row r="1034" spans="2:15" ht="13.5" customHeight="1">
      <c r="B1034" s="195">
        <v>17</v>
      </c>
      <c r="C1034" s="195">
        <v>4.4</v>
      </c>
      <c r="D1034" s="195">
        <v>7.4</v>
      </c>
      <c r="F1034" s="198">
        <v>649</v>
      </c>
      <c r="G1034" s="195">
        <f t="shared" si="74"/>
        <v>26.194144838212633</v>
      </c>
      <c r="H1034" s="1212">
        <f t="shared" si="75"/>
        <v>1533.1278890600927</v>
      </c>
      <c r="I1034" s="71" t="s">
        <v>2224</v>
      </c>
      <c r="J1034" s="66"/>
      <c r="K1034" s="626">
        <v>1.99</v>
      </c>
      <c r="L1034" s="768">
        <v>200</v>
      </c>
      <c r="M1034" s="626">
        <f t="shared" si="73"/>
        <v>9.950000000000001</v>
      </c>
      <c r="N1034" s="1096">
        <f>M1034/F1034*1000</f>
        <v>15.331278890600927</v>
      </c>
      <c r="O1034" s="24" t="s">
        <v>1424</v>
      </c>
    </row>
    <row r="1035" spans="2:15" s="10" customFormat="1" ht="13.5" customHeight="1">
      <c r="B1035" s="218"/>
      <c r="C1035" s="218"/>
      <c r="D1035" s="218"/>
      <c r="E1035" s="737"/>
      <c r="F1035" s="219"/>
      <c r="G1035" s="218"/>
      <c r="H1035" s="218"/>
      <c r="I1035" s="221" t="s">
        <v>2519</v>
      </c>
      <c r="J1035" s="252"/>
      <c r="K1035" s="9">
        <v>1.99</v>
      </c>
      <c r="L1035" s="10">
        <v>200</v>
      </c>
      <c r="M1035" s="9">
        <f t="shared" si="73"/>
        <v>9.950000000000001</v>
      </c>
      <c r="O1035" s="224" t="s">
        <v>1639</v>
      </c>
    </row>
    <row r="1036" spans="2:20" s="3" customFormat="1" ht="12.75">
      <c r="B1036" s="196"/>
      <c r="C1036" s="196"/>
      <c r="D1036" s="196"/>
      <c r="E1036" s="738"/>
      <c r="F1036" s="199"/>
      <c r="G1036" s="196"/>
      <c r="H1036" s="196"/>
      <c r="I1036" s="298"/>
      <c r="J1036" s="177"/>
      <c r="K1036" s="8"/>
      <c r="M1036" s="8"/>
      <c r="N1036" s="14"/>
      <c r="O1036" s="50"/>
      <c r="T1036" s="11"/>
    </row>
    <row r="1037" spans="2:15" s="3" customFormat="1" ht="18.75" customHeight="1">
      <c r="B1037" s="196"/>
      <c r="C1037" s="196"/>
      <c r="D1037" s="196"/>
      <c r="E1037" s="738"/>
      <c r="F1037" s="199"/>
      <c r="G1037" s="196"/>
      <c r="H1037" s="196"/>
      <c r="I1037" s="91" t="s">
        <v>2059</v>
      </c>
      <c r="J1037" s="153"/>
      <c r="K1037" s="8"/>
      <c r="M1037" s="1095" t="s">
        <v>2490</v>
      </c>
      <c r="N1037" s="235" t="s">
        <v>2559</v>
      </c>
      <c r="O1037" s="50"/>
    </row>
    <row r="1038" spans="7:15" ht="13.5" customHeight="1">
      <c r="G1038" s="195" t="e">
        <f>B1038/F1038*1000</f>
        <v>#DIV/0!</v>
      </c>
      <c r="H1038" s="1212" t="e">
        <f>M1038/F1038*100000</f>
        <v>#DIV/0!</v>
      </c>
      <c r="I1038" s="97" t="s">
        <v>3161</v>
      </c>
      <c r="J1038" s="66"/>
      <c r="K1038" s="32">
        <v>1.99</v>
      </c>
      <c r="L1038">
        <v>200</v>
      </c>
      <c r="M1038" s="41">
        <f>K1038/L1038*1000</f>
        <v>9.950000000000001</v>
      </c>
      <c r="N1038" s="1096"/>
      <c r="O1038" s="286" t="s">
        <v>3154</v>
      </c>
    </row>
    <row r="1039" spans="2:15" ht="13.5" customHeight="1">
      <c r="B1039" s="195">
        <v>13</v>
      </c>
      <c r="C1039" s="195">
        <v>0.7</v>
      </c>
      <c r="D1039" s="195">
        <v>7.8</v>
      </c>
      <c r="F1039" s="198">
        <v>511</v>
      </c>
      <c r="G1039" s="195">
        <f>B1039/F1039*1000</f>
        <v>25.440313111545986</v>
      </c>
      <c r="H1039" s="1212">
        <f>M1039/F1039*100000</f>
        <v>1908.023483365949</v>
      </c>
      <c r="I1039" s="97" t="s">
        <v>3156</v>
      </c>
      <c r="J1039" s="66"/>
      <c r="K1039" s="809">
        <v>1.95</v>
      </c>
      <c r="L1039">
        <v>200</v>
      </c>
      <c r="M1039" s="41">
        <f>K1039/L1039*1000</f>
        <v>9.75</v>
      </c>
      <c r="N1039" s="1096"/>
      <c r="O1039" s="286" t="s">
        <v>3154</v>
      </c>
    </row>
    <row r="1040" spans="9:15" ht="13.5" customHeight="1">
      <c r="I1040" s="1527" t="s">
        <v>907</v>
      </c>
      <c r="J1040" s="66"/>
      <c r="K1040" s="32">
        <v>9.81</v>
      </c>
      <c r="L1040" s="33">
        <v>1200</v>
      </c>
      <c r="M1040" s="1526">
        <f>K1040/L1040*1000</f>
        <v>8.175</v>
      </c>
      <c r="N1040" s="63"/>
      <c r="O1040" s="24" t="s">
        <v>1030</v>
      </c>
    </row>
    <row r="1041" spans="2:15" s="3" customFormat="1" ht="12.75" customHeight="1">
      <c r="B1041" s="196">
        <v>20</v>
      </c>
      <c r="C1041" s="196">
        <v>3.2</v>
      </c>
      <c r="D1041" s="196">
        <v>11</v>
      </c>
      <c r="E1041" s="738"/>
      <c r="F1041" s="199">
        <v>812</v>
      </c>
      <c r="G1041" s="195">
        <f>B1041/F1041*1000</f>
        <v>24.630541871921185</v>
      </c>
      <c r="H1041" s="1212">
        <f>M1041/F1041*100000</f>
        <v>980.2955665024631</v>
      </c>
      <c r="I1041" s="59" t="s">
        <v>328</v>
      </c>
      <c r="J1041" s="1444"/>
      <c r="K1041" s="430">
        <v>1.99</v>
      </c>
      <c r="L1041" s="1445">
        <v>250</v>
      </c>
      <c r="M1041" s="103">
        <f>K1041/L1041*1000</f>
        <v>7.96</v>
      </c>
      <c r="N1041" s="1096">
        <f>M1041/F1041*1000</f>
        <v>9.802955665024632</v>
      </c>
      <c r="O1041" s="50" t="s">
        <v>3144</v>
      </c>
    </row>
    <row r="1042" spans="2:15" s="3" customFormat="1" ht="12.75">
      <c r="B1042" s="196"/>
      <c r="C1042" s="196"/>
      <c r="D1042" s="196"/>
      <c r="E1042" s="738"/>
      <c r="F1042" s="199">
        <v>531</v>
      </c>
      <c r="G1042" s="195">
        <f>B1042/F1042*1000</f>
        <v>0</v>
      </c>
      <c r="H1042" s="1212">
        <f>M1042/F1042*100000</f>
        <v>2414.406779661017</v>
      </c>
      <c r="I1042" s="37" t="s">
        <v>1834</v>
      </c>
      <c r="J1042" s="41"/>
      <c r="K1042" s="41">
        <v>2.59</v>
      </c>
      <c r="L1042" s="42">
        <v>200</v>
      </c>
      <c r="M1042" s="25">
        <f>K1042/L1042*1000*0.99</f>
        <v>12.8205</v>
      </c>
      <c r="N1042" s="1096">
        <f>M1042/F1042*1000</f>
        <v>24.14406779661017</v>
      </c>
      <c r="O1042" s="448" t="s">
        <v>1424</v>
      </c>
    </row>
    <row r="1043" spans="2:15" ht="13.5" customHeight="1">
      <c r="B1043" s="195">
        <v>18</v>
      </c>
      <c r="C1043" s="195">
        <v>0.6</v>
      </c>
      <c r="D1043" s="195">
        <v>9.1</v>
      </c>
      <c r="F1043" s="198">
        <v>667</v>
      </c>
      <c r="G1043" s="195">
        <f>B1043/F1043*1000</f>
        <v>26.986506746626688</v>
      </c>
      <c r="H1043" s="1212">
        <f>M1043/F1043*100000</f>
        <v>1229.3853073463267</v>
      </c>
      <c r="I1043" s="40" t="s">
        <v>2992</v>
      </c>
      <c r="J1043" s="66"/>
      <c r="M1043" s="41">
        <v>8.2</v>
      </c>
      <c r="N1043" s="1096"/>
      <c r="O1043" s="448" t="s">
        <v>990</v>
      </c>
    </row>
    <row r="1044" spans="2:15" ht="13.5" customHeight="1">
      <c r="B1044" s="195">
        <v>18</v>
      </c>
      <c r="C1044" s="195">
        <v>0.6</v>
      </c>
      <c r="D1044" s="195">
        <v>9.1</v>
      </c>
      <c r="F1044" s="198">
        <v>667</v>
      </c>
      <c r="G1044" s="195">
        <f aca="true" t="shared" si="76" ref="G1044:G1049">B1044/F1044*1000</f>
        <v>26.986506746626688</v>
      </c>
      <c r="H1044" s="1212">
        <f aca="true" t="shared" si="77" ref="H1044:H1055">M1044/F1044*100000</f>
        <v>1389.8050974512744</v>
      </c>
      <c r="I1044" s="40" t="s">
        <v>2992</v>
      </c>
      <c r="J1044" s="66"/>
      <c r="M1044" s="41">
        <v>9.27</v>
      </c>
      <c r="N1044" s="1096"/>
      <c r="O1044" s="716" t="s">
        <v>1769</v>
      </c>
    </row>
    <row r="1045" spans="2:15" ht="13.5" customHeight="1">
      <c r="B1045" s="195">
        <v>12</v>
      </c>
      <c r="C1045" s="195">
        <v>1.8</v>
      </c>
      <c r="D1045" s="195">
        <v>5.5</v>
      </c>
      <c r="F1045" s="198">
        <v>431</v>
      </c>
      <c r="G1045" s="195">
        <f t="shared" si="76"/>
        <v>27.842227378190255</v>
      </c>
      <c r="H1045" s="1212">
        <f t="shared" si="77"/>
        <v>1154.292343387471</v>
      </c>
      <c r="I1045" s="97" t="s">
        <v>722</v>
      </c>
      <c r="J1045" s="66"/>
      <c r="K1045" s="5">
        <v>1.99</v>
      </c>
      <c r="L1045">
        <v>400</v>
      </c>
      <c r="M1045" s="41">
        <f>K1045/L1045*1000</f>
        <v>4.9750000000000005</v>
      </c>
      <c r="N1045" s="1096"/>
      <c r="O1045" s="24" t="s">
        <v>175</v>
      </c>
    </row>
    <row r="1046" spans="2:16" s="3" customFormat="1" ht="12.75">
      <c r="B1046" s="196">
        <v>22</v>
      </c>
      <c r="C1046" s="196">
        <v>1.9</v>
      </c>
      <c r="D1046" s="196">
        <v>12.5</v>
      </c>
      <c r="E1046" s="738"/>
      <c r="F1046" s="199">
        <v>879</v>
      </c>
      <c r="G1046" s="195">
        <f t="shared" si="76"/>
        <v>25.028441410693972</v>
      </c>
      <c r="H1046" s="1212">
        <f t="shared" si="77"/>
        <v>896.518771331058</v>
      </c>
      <c r="I1046" s="71" t="s">
        <v>1748</v>
      </c>
      <c r="J1046" s="96"/>
      <c r="K1046" s="116">
        <v>1.99</v>
      </c>
      <c r="L1046" s="117">
        <v>250</v>
      </c>
      <c r="M1046" s="116">
        <f>K1046/L1046*1000*0.99</f>
        <v>7.8804</v>
      </c>
      <c r="N1046" s="1423">
        <f>M1046/F1046*1000</f>
        <v>8.96518771331058</v>
      </c>
      <c r="O1046" s="669" t="s">
        <v>62</v>
      </c>
      <c r="P1046" s="1157"/>
    </row>
    <row r="1047" spans="2:15" s="3" customFormat="1" ht="12.75">
      <c r="B1047" s="196">
        <v>22</v>
      </c>
      <c r="C1047" s="196">
        <v>1.9</v>
      </c>
      <c r="D1047" s="196">
        <v>12.5</v>
      </c>
      <c r="E1047" s="738"/>
      <c r="F1047" s="199">
        <v>879</v>
      </c>
      <c r="G1047" s="195">
        <f t="shared" si="76"/>
        <v>25.028441410693972</v>
      </c>
      <c r="H1047" s="1212">
        <f t="shared" si="77"/>
        <v>986.6211604095563</v>
      </c>
      <c r="I1047" s="71" t="s">
        <v>1748</v>
      </c>
      <c r="J1047" s="96"/>
      <c r="K1047" s="116">
        <v>2.19</v>
      </c>
      <c r="L1047" s="117">
        <v>250</v>
      </c>
      <c r="M1047" s="116">
        <f aca="true" t="shared" si="78" ref="M1047:M1055">K1047/L1047*1000*0.99</f>
        <v>8.6724</v>
      </c>
      <c r="N1047" s="1096">
        <f>M1047/F1047*1000</f>
        <v>9.866211604095563</v>
      </c>
      <c r="O1047" s="669" t="s">
        <v>2066</v>
      </c>
    </row>
    <row r="1048" spans="2:15" s="3" customFormat="1" ht="12.75">
      <c r="B1048" s="196">
        <v>22</v>
      </c>
      <c r="C1048" s="196">
        <v>1.9</v>
      </c>
      <c r="D1048" s="196">
        <v>12.5</v>
      </c>
      <c r="E1048" s="738"/>
      <c r="F1048" s="199">
        <v>879</v>
      </c>
      <c r="G1048" s="195">
        <f t="shared" si="76"/>
        <v>25.028441410693972</v>
      </c>
      <c r="H1048" s="1212">
        <f t="shared" si="77"/>
        <v>887.5535836177473</v>
      </c>
      <c r="I1048" s="109" t="s">
        <v>1322</v>
      </c>
      <c r="J1048" s="120">
        <v>1.99</v>
      </c>
      <c r="K1048" s="774">
        <f>J1048*0.99</f>
        <v>1.9701</v>
      </c>
      <c r="L1048" s="922">
        <v>250</v>
      </c>
      <c r="M1048" s="774">
        <f t="shared" si="78"/>
        <v>7.801595999999999</v>
      </c>
      <c r="N1048" s="1097"/>
      <c r="O1048" s="50" t="s">
        <v>1742</v>
      </c>
    </row>
    <row r="1049" spans="2:15" s="3" customFormat="1" ht="12.75">
      <c r="B1049" s="196">
        <v>13</v>
      </c>
      <c r="C1049" s="196">
        <v>0.7</v>
      </c>
      <c r="D1049" s="196">
        <v>7.8</v>
      </c>
      <c r="E1049" s="738"/>
      <c r="F1049" s="199">
        <v>531</v>
      </c>
      <c r="G1049" s="195">
        <f t="shared" si="76"/>
        <v>24.482109227871938</v>
      </c>
      <c r="H1049" s="1212">
        <f t="shared" si="77"/>
        <v>1668.64406779661</v>
      </c>
      <c r="I1049" s="97" t="s">
        <v>1327</v>
      </c>
      <c r="J1049" s="41"/>
      <c r="K1049" s="41">
        <v>1.79</v>
      </c>
      <c r="L1049" s="42">
        <v>200</v>
      </c>
      <c r="M1049" s="41">
        <f t="shared" si="78"/>
        <v>8.8605</v>
      </c>
      <c r="N1049" s="1096">
        <f>M1049/F1049*1000</f>
        <v>16.6864406779661</v>
      </c>
      <c r="O1049" s="716" t="s">
        <v>1607</v>
      </c>
    </row>
    <row r="1050" spans="2:15" s="3" customFormat="1" ht="12.75">
      <c r="B1050" s="196">
        <v>16.7</v>
      </c>
      <c r="C1050" s="196">
        <v>4.3</v>
      </c>
      <c r="D1050" s="196">
        <v>6.9</v>
      </c>
      <c r="E1050" s="738"/>
      <c r="F1050" s="199">
        <v>614</v>
      </c>
      <c r="G1050" s="195">
        <f aca="true" t="shared" si="79" ref="G1050:G1055">B1050/F1050*1000</f>
        <v>27.19869706840391</v>
      </c>
      <c r="H1050" s="1212">
        <f t="shared" si="77"/>
        <v>2386.399837133551</v>
      </c>
      <c r="I1050" s="37" t="s">
        <v>929</v>
      </c>
      <c r="J1050" s="25">
        <v>2.99</v>
      </c>
      <c r="K1050" s="29">
        <f>J1050*0.99</f>
        <v>2.9601</v>
      </c>
      <c r="L1050" s="26">
        <v>200</v>
      </c>
      <c r="M1050" s="25">
        <f t="shared" si="78"/>
        <v>14.652495000000002</v>
      </c>
      <c r="N1050" s="1096">
        <f>M1050/F1050*1000</f>
        <v>23.86399837133551</v>
      </c>
      <c r="O1050" s="24" t="s">
        <v>928</v>
      </c>
    </row>
    <row r="1051" spans="2:15" s="3" customFormat="1" ht="12.75">
      <c r="B1051" s="196">
        <v>16.7</v>
      </c>
      <c r="C1051" s="196">
        <v>4.3</v>
      </c>
      <c r="D1051" s="196">
        <v>6.9</v>
      </c>
      <c r="E1051" s="738"/>
      <c r="F1051" s="199">
        <v>614</v>
      </c>
      <c r="G1051" s="195">
        <f t="shared" si="79"/>
        <v>27.19869706840391</v>
      </c>
      <c r="H1051" s="1212">
        <f t="shared" si="77"/>
        <v>2410.5048859934855</v>
      </c>
      <c r="I1051" s="37" t="s">
        <v>2878</v>
      </c>
      <c r="J1051" s="38"/>
      <c r="K1051" s="25">
        <v>2.99</v>
      </c>
      <c r="L1051" s="26">
        <v>200</v>
      </c>
      <c r="M1051" s="25">
        <f t="shared" si="78"/>
        <v>14.800500000000001</v>
      </c>
      <c r="N1051" s="789"/>
      <c r="O1051" s="716" t="s">
        <v>1607</v>
      </c>
    </row>
    <row r="1052" spans="2:15" s="3" customFormat="1" ht="12.75">
      <c r="B1052" s="196">
        <v>16.7</v>
      </c>
      <c r="C1052" s="196">
        <v>4.3</v>
      </c>
      <c r="D1052" s="196">
        <v>6.9</v>
      </c>
      <c r="E1052" s="738"/>
      <c r="F1052" s="199">
        <v>614</v>
      </c>
      <c r="G1052" s="195">
        <f t="shared" si="79"/>
        <v>27.19869706840391</v>
      </c>
      <c r="H1052" s="1212">
        <f t="shared" si="77"/>
        <v>2338.1897394136804</v>
      </c>
      <c r="I1052" s="37" t="s">
        <v>464</v>
      </c>
      <c r="J1052" s="38">
        <v>2.99</v>
      </c>
      <c r="K1052" s="25">
        <f>J1052*0.97</f>
        <v>2.9003</v>
      </c>
      <c r="L1052" s="26">
        <v>200</v>
      </c>
      <c r="M1052" s="25">
        <f t="shared" si="78"/>
        <v>14.356485</v>
      </c>
      <c r="N1052" s="789"/>
      <c r="O1052" s="24" t="s">
        <v>1382</v>
      </c>
    </row>
    <row r="1053" spans="2:15" s="3" customFormat="1" ht="12.75">
      <c r="B1053" s="196">
        <v>16.7</v>
      </c>
      <c r="C1053" s="196">
        <v>4.3</v>
      </c>
      <c r="D1053" s="196">
        <v>6.9</v>
      </c>
      <c r="E1053" s="738"/>
      <c r="F1053" s="199">
        <v>614</v>
      </c>
      <c r="G1053" s="195">
        <f t="shared" si="79"/>
        <v>27.19869706840391</v>
      </c>
      <c r="H1053" s="1212">
        <f t="shared" si="77"/>
        <v>1168.973941368078</v>
      </c>
      <c r="I1053" s="59" t="s">
        <v>464</v>
      </c>
      <c r="K1053" s="66">
        <v>4.35</v>
      </c>
      <c r="L1053" s="19">
        <v>600</v>
      </c>
      <c r="M1053" s="41">
        <f t="shared" si="78"/>
        <v>7.177499999999999</v>
      </c>
      <c r="N1053" s="108" t="s">
        <v>1722</v>
      </c>
      <c r="O1053" s="50" t="s">
        <v>2468</v>
      </c>
    </row>
    <row r="1054" spans="2:15" s="3" customFormat="1" ht="12.75">
      <c r="B1054" s="196">
        <v>16.7</v>
      </c>
      <c r="C1054" s="196">
        <v>4.3</v>
      </c>
      <c r="D1054" s="196">
        <v>6.9</v>
      </c>
      <c r="E1054" s="738"/>
      <c r="F1054" s="199">
        <v>614</v>
      </c>
      <c r="G1054" s="195">
        <f t="shared" si="79"/>
        <v>27.19869706840391</v>
      </c>
      <c r="H1054" s="1212">
        <f t="shared" si="77"/>
        <v>2265.202768729642</v>
      </c>
      <c r="I1054" s="37" t="s">
        <v>464</v>
      </c>
      <c r="J1054" s="66">
        <v>8.69</v>
      </c>
      <c r="K1054" s="32">
        <f>J1054*0.97</f>
        <v>8.4293</v>
      </c>
      <c r="L1054" s="19">
        <v>600</v>
      </c>
      <c r="M1054" s="25">
        <f t="shared" si="78"/>
        <v>13.908344999999999</v>
      </c>
      <c r="N1054" s="789"/>
      <c r="O1054" s="24" t="s">
        <v>2463</v>
      </c>
    </row>
    <row r="1055" spans="2:15" s="3" customFormat="1" ht="12.75">
      <c r="B1055" s="196">
        <v>18</v>
      </c>
      <c r="C1055" s="196">
        <v>0.7</v>
      </c>
      <c r="D1055" s="196">
        <v>9.5</v>
      </c>
      <c r="E1055" s="738"/>
      <c r="F1055" s="199">
        <v>685</v>
      </c>
      <c r="G1055" s="195">
        <f t="shared" si="79"/>
        <v>26.277372262773724</v>
      </c>
      <c r="H1055" s="1212">
        <f t="shared" si="77"/>
        <v>1099.674244004171</v>
      </c>
      <c r="I1055" s="71" t="s">
        <v>75</v>
      </c>
      <c r="J1055" s="96">
        <v>2.69</v>
      </c>
      <c r="K1055" s="116">
        <f>J1055*0.99</f>
        <v>2.6631</v>
      </c>
      <c r="L1055" s="117">
        <v>350</v>
      </c>
      <c r="M1055" s="852">
        <f t="shared" si="78"/>
        <v>7.532768571428571</v>
      </c>
      <c r="N1055" s="1018" t="s">
        <v>294</v>
      </c>
      <c r="O1055" s="1023" t="s">
        <v>776</v>
      </c>
    </row>
    <row r="1056" spans="9:15" ht="12.75">
      <c r="I1056" s="37" t="s">
        <v>753</v>
      </c>
      <c r="J1056" s="66"/>
      <c r="K1056" s="32">
        <v>2.97</v>
      </c>
      <c r="L1056" s="33">
        <v>200</v>
      </c>
      <c r="M1056" s="32">
        <f aca="true" t="shared" si="80" ref="M1056:M1069">K1056/L1056*1000</f>
        <v>14.85</v>
      </c>
      <c r="O1056" s="24" t="s">
        <v>2802</v>
      </c>
    </row>
    <row r="1057" spans="2:15" ht="12.75">
      <c r="B1057" s="195">
        <v>20.2</v>
      </c>
      <c r="C1057" s="195">
        <v>0.5</v>
      </c>
      <c r="D1057" s="195">
        <v>11.3</v>
      </c>
      <c r="F1057" s="198">
        <v>771</v>
      </c>
      <c r="G1057" s="195">
        <f>B1057/F1057*1000</f>
        <v>26.199740596627755</v>
      </c>
      <c r="I1057" s="37" t="s">
        <v>1706</v>
      </c>
      <c r="J1057" s="66"/>
      <c r="K1057" s="32">
        <v>2.99</v>
      </c>
      <c r="L1057" s="39">
        <v>250</v>
      </c>
      <c r="M1057" s="32">
        <f t="shared" si="80"/>
        <v>11.96</v>
      </c>
      <c r="N1057" s="94"/>
      <c r="O1057" s="24" t="s">
        <v>1246</v>
      </c>
    </row>
    <row r="1058" spans="9:15" ht="12.75">
      <c r="I1058" s="40" t="s">
        <v>121</v>
      </c>
      <c r="K1058" s="32">
        <v>2.79</v>
      </c>
      <c r="L1058" s="33">
        <v>250</v>
      </c>
      <c r="M1058" s="32">
        <f t="shared" si="80"/>
        <v>11.16</v>
      </c>
      <c r="O1058" s="448" t="s">
        <v>2120</v>
      </c>
    </row>
    <row r="1059" spans="2:15" ht="12.75">
      <c r="B1059" s="195">
        <v>12.4</v>
      </c>
      <c r="C1059" s="195">
        <v>4.5</v>
      </c>
      <c r="D1059" s="195">
        <v>6.9</v>
      </c>
      <c r="F1059" s="198">
        <v>543</v>
      </c>
      <c r="G1059" s="195">
        <f>B1059/F1059*1000</f>
        <v>22.83609576427256</v>
      </c>
      <c r="I1059" s="31" t="s">
        <v>812</v>
      </c>
      <c r="J1059" s="66"/>
      <c r="K1059" s="32">
        <v>2.97</v>
      </c>
      <c r="L1059" s="33">
        <v>200</v>
      </c>
      <c r="M1059" s="32">
        <f t="shared" si="80"/>
        <v>14.85</v>
      </c>
      <c r="O1059" s="24" t="s">
        <v>581</v>
      </c>
    </row>
    <row r="1060" spans="9:15" ht="12.75">
      <c r="I1060" s="59" t="s">
        <v>1778</v>
      </c>
      <c r="J1060" s="66"/>
      <c r="K1060" s="32">
        <v>1.5</v>
      </c>
      <c r="L1060" s="33">
        <v>200</v>
      </c>
      <c r="M1060" s="32">
        <f>K1060/L1060*1000</f>
        <v>7.5</v>
      </c>
      <c r="N1060" s="267" t="s">
        <v>465</v>
      </c>
      <c r="O1060" s="24" t="s">
        <v>2434</v>
      </c>
    </row>
    <row r="1061" spans="9:15" ht="12.75">
      <c r="I1061" s="59" t="s">
        <v>2672</v>
      </c>
      <c r="J1061" s="66"/>
      <c r="K1061" s="32">
        <v>1.6</v>
      </c>
      <c r="L1061" s="33">
        <v>200</v>
      </c>
      <c r="M1061" s="103">
        <f>K1061/L1061*1000</f>
        <v>8</v>
      </c>
      <c r="N1061" s="267" t="s">
        <v>465</v>
      </c>
      <c r="O1061" s="24" t="s">
        <v>2434</v>
      </c>
    </row>
    <row r="1062" spans="9:15" ht="12.75">
      <c r="I1062" s="59" t="s">
        <v>165</v>
      </c>
      <c r="J1062" s="66"/>
      <c r="K1062" s="32">
        <v>1.4</v>
      </c>
      <c r="L1062" s="33">
        <v>225</v>
      </c>
      <c r="M1062" s="103">
        <f>K1062/L1062*1000</f>
        <v>6.222222222222221</v>
      </c>
      <c r="N1062" s="267" t="s">
        <v>465</v>
      </c>
      <c r="O1062" s="24" t="s">
        <v>2434</v>
      </c>
    </row>
    <row r="1063" spans="9:15" ht="12.75">
      <c r="I1063" s="59" t="s">
        <v>1779</v>
      </c>
      <c r="J1063" s="66"/>
      <c r="K1063" s="32">
        <v>1.59</v>
      </c>
      <c r="L1063" s="33">
        <v>200</v>
      </c>
      <c r="M1063" s="103">
        <f t="shared" si="80"/>
        <v>7.95</v>
      </c>
      <c r="N1063" s="267" t="s">
        <v>465</v>
      </c>
      <c r="O1063" s="24" t="s">
        <v>2434</v>
      </c>
    </row>
    <row r="1064" spans="9:15" ht="12.75">
      <c r="I1064" s="97" t="s">
        <v>1825</v>
      </c>
      <c r="J1064" s="163"/>
      <c r="K1064" s="276">
        <v>2.79</v>
      </c>
      <c r="L1064" s="297">
        <v>225</v>
      </c>
      <c r="M1064" s="276">
        <f>K1064/L1064*1000</f>
        <v>12.4</v>
      </c>
      <c r="N1064" s="763"/>
      <c r="O1064" s="24" t="s">
        <v>2935</v>
      </c>
    </row>
    <row r="1065" spans="9:15" ht="12.75">
      <c r="I1065" s="2" t="s">
        <v>2951</v>
      </c>
      <c r="J1065" s="66"/>
      <c r="K1065" s="32">
        <f>3.59*0.9</f>
        <v>3.231</v>
      </c>
      <c r="L1065" s="33">
        <v>200</v>
      </c>
      <c r="M1065" s="32">
        <f>K1065/L1065*1000</f>
        <v>16.154999999999998</v>
      </c>
      <c r="O1065" s="24" t="s">
        <v>2071</v>
      </c>
    </row>
    <row r="1066" spans="9:15" ht="12.75">
      <c r="I1066" s="2" t="s">
        <v>2951</v>
      </c>
      <c r="J1066" s="66">
        <v>3.59</v>
      </c>
      <c r="K1066" s="32">
        <f>J1066*0.97</f>
        <v>3.4823</v>
      </c>
      <c r="L1066" s="33">
        <v>200</v>
      </c>
      <c r="M1066" s="32">
        <f>K1066/L1066*1000</f>
        <v>17.4115</v>
      </c>
      <c r="O1066" s="716" t="s">
        <v>2071</v>
      </c>
    </row>
    <row r="1067" spans="9:15" ht="12.75">
      <c r="I1067" s="2" t="s">
        <v>2894</v>
      </c>
      <c r="J1067" s="66">
        <v>2.99</v>
      </c>
      <c r="K1067" s="32">
        <f>J1067*0.97</f>
        <v>2.9003</v>
      </c>
      <c r="L1067" s="33">
        <v>200</v>
      </c>
      <c r="M1067" s="32">
        <f t="shared" si="80"/>
        <v>14.5015</v>
      </c>
      <c r="O1067" s="24" t="s">
        <v>412</v>
      </c>
    </row>
    <row r="1068" spans="9:15" ht="12.75">
      <c r="I1068" s="2" t="s">
        <v>2298</v>
      </c>
      <c r="J1068" s="66">
        <v>2.99</v>
      </c>
      <c r="K1068" s="32">
        <f>J1068*0.97</f>
        <v>2.9003</v>
      </c>
      <c r="L1068" s="33">
        <v>200</v>
      </c>
      <c r="M1068" s="32">
        <f t="shared" si="80"/>
        <v>14.5015</v>
      </c>
      <c r="N1068" s="108" t="s">
        <v>1722</v>
      </c>
      <c r="O1068" s="24" t="s">
        <v>1705</v>
      </c>
    </row>
    <row r="1069" spans="9:15" ht="12.75">
      <c r="I1069" s="2" t="s">
        <v>2298</v>
      </c>
      <c r="J1069" s="66">
        <v>2.99</v>
      </c>
      <c r="K1069" s="32">
        <f>J1069*0.97</f>
        <v>2.9003</v>
      </c>
      <c r="L1069" s="33">
        <v>200</v>
      </c>
      <c r="M1069" s="32">
        <f t="shared" si="80"/>
        <v>14.5015</v>
      </c>
      <c r="O1069" s="716" t="s">
        <v>1705</v>
      </c>
    </row>
    <row r="1070" spans="9:15" ht="12.75">
      <c r="I1070" s="2"/>
      <c r="J1070" s="66"/>
      <c r="K1070" s="32"/>
      <c r="L1070" s="33"/>
      <c r="M1070" s="32"/>
      <c r="O1070" s="716"/>
    </row>
    <row r="1071" spans="9:13" ht="7.5" customHeight="1">
      <c r="I1071" s="59"/>
      <c r="J1071" s="66"/>
      <c r="K1071" s="32"/>
      <c r="L1071" s="33"/>
      <c r="M1071" s="32"/>
    </row>
    <row r="1072" spans="2:15" ht="12.75">
      <c r="B1072" s="195">
        <v>14.3</v>
      </c>
      <c r="C1072" s="195">
        <v>2.3</v>
      </c>
      <c r="D1072" s="195">
        <v>7</v>
      </c>
      <c r="F1072" s="198">
        <v>533</v>
      </c>
      <c r="G1072" s="195">
        <f>B1072/F1072*1000</f>
        <v>26.82926829268293</v>
      </c>
      <c r="I1072" s="59" t="s">
        <v>2858</v>
      </c>
      <c r="J1072" s="66"/>
      <c r="K1072" s="32">
        <v>2.69</v>
      </c>
      <c r="L1072" s="33">
        <v>200</v>
      </c>
      <c r="M1072" s="32">
        <f>K1072/L1072*1000</f>
        <v>13.45</v>
      </c>
      <c r="O1072" s="50" t="s">
        <v>1742</v>
      </c>
    </row>
    <row r="1073" spans="2:15" ht="12.75">
      <c r="B1073" s="195">
        <v>13</v>
      </c>
      <c r="C1073" s="195">
        <v>2.3</v>
      </c>
      <c r="D1073" s="195">
        <v>13.2</v>
      </c>
      <c r="F1073" s="198">
        <v>749</v>
      </c>
      <c r="G1073" s="195">
        <f>B1073/F1073*1000</f>
        <v>17.356475300400533</v>
      </c>
      <c r="I1073" s="109" t="s">
        <v>456</v>
      </c>
      <c r="J1073" s="120">
        <v>3.49</v>
      </c>
      <c r="K1073" s="22">
        <f>J1073*0.97</f>
        <v>3.3853</v>
      </c>
      <c r="L1073" s="23">
        <v>200</v>
      </c>
      <c r="M1073" s="22">
        <f>K1073/L1073*1000</f>
        <v>16.9265</v>
      </c>
      <c r="N1073" s="350" t="s">
        <v>3130</v>
      </c>
      <c r="O1073" s="50" t="s">
        <v>776</v>
      </c>
    </row>
    <row r="1074" spans="2:15" ht="12.75">
      <c r="B1074" s="195">
        <v>13</v>
      </c>
      <c r="C1074" s="195">
        <v>2.3</v>
      </c>
      <c r="D1074" s="195">
        <v>13.2</v>
      </c>
      <c r="F1074" s="198">
        <v>749</v>
      </c>
      <c r="G1074" s="195">
        <f>B1074/F1074*1000</f>
        <v>17.356475300400533</v>
      </c>
      <c r="I1074" s="59" t="s">
        <v>2319</v>
      </c>
      <c r="J1074" s="66"/>
      <c r="K1074" s="276">
        <v>3.29</v>
      </c>
      <c r="L1074" s="33">
        <v>200</v>
      </c>
      <c r="M1074" s="32">
        <f>K1074/L1074*1000</f>
        <v>16.45</v>
      </c>
      <c r="O1074" s="50" t="s">
        <v>2058</v>
      </c>
    </row>
    <row r="1075" spans="2:15" ht="12.75">
      <c r="B1075" s="195">
        <v>13</v>
      </c>
      <c r="C1075" s="195">
        <v>2.3</v>
      </c>
      <c r="D1075" s="195">
        <v>13.2</v>
      </c>
      <c r="F1075" s="198">
        <v>749</v>
      </c>
      <c r="G1075" s="195">
        <f>B1075/F1075*1000</f>
        <v>17.356475300400533</v>
      </c>
      <c r="I1075" s="109" t="s">
        <v>2319</v>
      </c>
      <c r="J1075" s="120"/>
      <c r="K1075" s="774">
        <v>2.99</v>
      </c>
      <c r="L1075" s="23">
        <v>200</v>
      </c>
      <c r="M1075" s="22">
        <f>K1075/L1075*1000</f>
        <v>14.950000000000001</v>
      </c>
      <c r="O1075" s="50" t="s">
        <v>2347</v>
      </c>
    </row>
    <row r="1076" spans="2:15" ht="12.75">
      <c r="B1076" s="195">
        <v>13</v>
      </c>
      <c r="C1076" s="195">
        <v>2.3</v>
      </c>
      <c r="D1076" s="195">
        <v>13.2</v>
      </c>
      <c r="F1076" s="198">
        <v>749</v>
      </c>
      <c r="G1076" s="195">
        <f>B1076/F1076*1000</f>
        <v>17.356475300400533</v>
      </c>
      <c r="I1076" s="37" t="s">
        <v>2100</v>
      </c>
      <c r="J1076" s="25">
        <v>3.29</v>
      </c>
      <c r="K1076" s="400">
        <f>J1076*0.99</f>
        <v>3.2571</v>
      </c>
      <c r="L1076" s="33">
        <v>200</v>
      </c>
      <c r="M1076" s="32">
        <f>J1076/L1076*1000</f>
        <v>16.45</v>
      </c>
      <c r="O1076" s="716" t="s">
        <v>2170</v>
      </c>
    </row>
    <row r="1077" spans="2:15" ht="12.75">
      <c r="B1077" s="195">
        <v>14</v>
      </c>
      <c r="C1077" s="195">
        <v>6.4</v>
      </c>
      <c r="D1077" s="663">
        <v>14</v>
      </c>
      <c r="F1077" s="198">
        <v>877</v>
      </c>
      <c r="G1077" s="390">
        <f aca="true" t="shared" si="81" ref="G1077:G1084">B1077/F1077*1000</f>
        <v>15.96351197263398</v>
      </c>
      <c r="H1077" s="390"/>
      <c r="I1077" s="56" t="s">
        <v>2430</v>
      </c>
      <c r="J1077" s="66"/>
      <c r="K1077" s="41">
        <v>1.99</v>
      </c>
      <c r="L1077" s="42">
        <v>180</v>
      </c>
      <c r="M1077" s="41">
        <f aca="true" t="shared" si="82" ref="M1077:M1083">K1077/L1077*1000</f>
        <v>11.055555555555557</v>
      </c>
      <c r="O1077" s="24" t="s">
        <v>2031</v>
      </c>
    </row>
    <row r="1078" spans="2:15" ht="12.75">
      <c r="B1078" s="195">
        <v>14</v>
      </c>
      <c r="C1078" s="195">
        <v>6.4</v>
      </c>
      <c r="D1078" s="663">
        <v>14</v>
      </c>
      <c r="F1078" s="198">
        <v>877</v>
      </c>
      <c r="G1078" s="390">
        <f t="shared" si="81"/>
        <v>15.96351197263398</v>
      </c>
      <c r="H1078" s="390"/>
      <c r="I1078" s="56" t="s">
        <v>0</v>
      </c>
      <c r="J1078" s="38">
        <v>2.19</v>
      </c>
      <c r="K1078" s="400">
        <f>J1078*0.99</f>
        <v>2.1681</v>
      </c>
      <c r="L1078" s="42">
        <v>180</v>
      </c>
      <c r="M1078" s="41">
        <f t="shared" si="82"/>
        <v>12.045</v>
      </c>
      <c r="O1078" s="716" t="s">
        <v>2120</v>
      </c>
    </row>
    <row r="1079" spans="2:15" ht="12.75">
      <c r="B1079" s="195">
        <v>14</v>
      </c>
      <c r="C1079" s="195">
        <v>3.4</v>
      </c>
      <c r="D1079" s="195">
        <v>10.5</v>
      </c>
      <c r="F1079" s="198">
        <v>684</v>
      </c>
      <c r="G1079" s="195">
        <f t="shared" si="81"/>
        <v>20.46783625730994</v>
      </c>
      <c r="I1079" s="56" t="s">
        <v>1688</v>
      </c>
      <c r="J1079" s="38">
        <v>2.19</v>
      </c>
      <c r="K1079" s="400">
        <f>J1079*0.99</f>
        <v>2.1681</v>
      </c>
      <c r="L1079" s="42">
        <v>180</v>
      </c>
      <c r="M1079" s="41">
        <f t="shared" si="82"/>
        <v>12.045</v>
      </c>
      <c r="O1079" s="716" t="s">
        <v>2120</v>
      </c>
    </row>
    <row r="1080" spans="2:15" ht="12.75">
      <c r="B1080" s="195">
        <v>14</v>
      </c>
      <c r="C1080" s="195">
        <v>3.4</v>
      </c>
      <c r="D1080" s="195">
        <v>10.5</v>
      </c>
      <c r="F1080" s="198">
        <v>684</v>
      </c>
      <c r="G1080" s="195">
        <f t="shared" si="81"/>
        <v>20.46783625730994</v>
      </c>
      <c r="I1080" s="56" t="s">
        <v>1689</v>
      </c>
      <c r="J1080" s="66"/>
      <c r="K1080" s="41">
        <v>1.99</v>
      </c>
      <c r="L1080" s="42">
        <v>180</v>
      </c>
      <c r="M1080" s="41">
        <f t="shared" si="82"/>
        <v>11.055555555555557</v>
      </c>
      <c r="O1080" s="24" t="s">
        <v>2031</v>
      </c>
    </row>
    <row r="1081" spans="2:15" ht="13.5" customHeight="1">
      <c r="B1081" s="195">
        <v>17.7</v>
      </c>
      <c r="C1081" s="195">
        <v>1.7</v>
      </c>
      <c r="D1081" s="195">
        <v>12.9</v>
      </c>
      <c r="F1081" s="843">
        <v>817</v>
      </c>
      <c r="G1081" s="195">
        <f>B1081/F1081*1000</f>
        <v>21.664626682986533</v>
      </c>
      <c r="I1081" s="2" t="s">
        <v>584</v>
      </c>
      <c r="J1081" s="153"/>
      <c r="K1081" s="5">
        <v>2.69</v>
      </c>
      <c r="L1081">
        <v>200</v>
      </c>
      <c r="M1081" s="5">
        <f>K1081/L1081*1000</f>
        <v>13.45</v>
      </c>
      <c r="O1081" s="50" t="s">
        <v>2347</v>
      </c>
    </row>
    <row r="1082" spans="2:15" ht="13.5" customHeight="1">
      <c r="B1082" s="195">
        <v>17.7</v>
      </c>
      <c r="C1082" s="195">
        <v>1.7</v>
      </c>
      <c r="D1082" s="195">
        <v>12.9</v>
      </c>
      <c r="F1082" s="843">
        <v>817</v>
      </c>
      <c r="G1082" s="195">
        <f>B1082/F1082*1000</f>
        <v>21.664626682986533</v>
      </c>
      <c r="I1082" s="109" t="s">
        <v>584</v>
      </c>
      <c r="J1082" s="990"/>
      <c r="K1082" s="22">
        <v>2.49</v>
      </c>
      <c r="L1082" s="23">
        <v>200</v>
      </c>
      <c r="M1082" s="22">
        <f>K1082/L1082*1000</f>
        <v>12.450000000000001</v>
      </c>
      <c r="O1082" s="50" t="s">
        <v>1669</v>
      </c>
    </row>
    <row r="1083" spans="2:15" ht="13.5" customHeight="1">
      <c r="B1083" s="195">
        <v>17.9</v>
      </c>
      <c r="C1083" s="195">
        <v>3.5</v>
      </c>
      <c r="D1083" s="195">
        <v>14.6</v>
      </c>
      <c r="F1083" s="843">
        <v>904</v>
      </c>
      <c r="G1083" s="195">
        <f t="shared" si="81"/>
        <v>19.80088495575221</v>
      </c>
      <c r="I1083" s="109" t="s">
        <v>1732</v>
      </c>
      <c r="J1083" s="990"/>
      <c r="K1083" s="22">
        <v>2.49</v>
      </c>
      <c r="L1083" s="23">
        <v>200</v>
      </c>
      <c r="M1083" s="22">
        <f t="shared" si="82"/>
        <v>12.450000000000001</v>
      </c>
      <c r="O1083" s="50" t="s">
        <v>1910</v>
      </c>
    </row>
    <row r="1084" spans="2:15" ht="13.5" customHeight="1">
      <c r="B1084" s="195">
        <v>17.9</v>
      </c>
      <c r="C1084" s="195">
        <v>3.5</v>
      </c>
      <c r="D1084" s="195">
        <v>14.6</v>
      </c>
      <c r="F1084" s="843">
        <v>904</v>
      </c>
      <c r="G1084" s="195">
        <f t="shared" si="81"/>
        <v>19.80088495575221</v>
      </c>
      <c r="I1084" s="21" t="s">
        <v>2648</v>
      </c>
      <c r="J1084" s="22">
        <v>2.69</v>
      </c>
      <c r="K1084" s="22">
        <f>J1084*0.99</f>
        <v>2.6631</v>
      </c>
      <c r="L1084" s="23">
        <v>200</v>
      </c>
      <c r="M1084" s="22">
        <f>J1084/L1084*1000</f>
        <v>13.45</v>
      </c>
      <c r="O1084" s="716" t="s">
        <v>1094</v>
      </c>
    </row>
    <row r="1085" spans="9:15" ht="13.5" customHeight="1">
      <c r="I1085" s="109" t="s">
        <v>2903</v>
      </c>
      <c r="J1085" s="844"/>
      <c r="K1085" s="29">
        <v>1.99</v>
      </c>
      <c r="L1085" s="30">
        <v>200</v>
      </c>
      <c r="M1085" s="29">
        <f>K1085/L1085*1000</f>
        <v>9.950000000000001</v>
      </c>
      <c r="O1085" s="24" t="s">
        <v>581</v>
      </c>
    </row>
    <row r="1086" spans="2:15" ht="12.75">
      <c r="B1086" s="195">
        <v>10.2</v>
      </c>
      <c r="C1086" s="195">
        <v>2</v>
      </c>
      <c r="D1086" s="195">
        <v>5.4</v>
      </c>
      <c r="F1086" s="198">
        <v>407</v>
      </c>
      <c r="G1086" s="195">
        <f aca="true" t="shared" si="83" ref="G1086:G1095">B1086/F1086*1000</f>
        <v>25.061425061425062</v>
      </c>
      <c r="I1086" s="59" t="s">
        <v>745</v>
      </c>
      <c r="J1086" s="103">
        <v>2.39</v>
      </c>
      <c r="K1086" s="5">
        <f>J1086*0.99</f>
        <v>2.3661000000000003</v>
      </c>
      <c r="L1086" s="30">
        <v>200</v>
      </c>
      <c r="M1086" s="41">
        <f aca="true" t="shared" si="84" ref="M1086:M1095">K1086/L1086*1000</f>
        <v>11.8305</v>
      </c>
      <c r="O1086" s="50" t="s">
        <v>1742</v>
      </c>
    </row>
    <row r="1087" spans="2:15" ht="12.75">
      <c r="B1087" s="195">
        <v>10.2</v>
      </c>
      <c r="C1087" s="195">
        <v>2</v>
      </c>
      <c r="D1087" s="195">
        <v>5.4</v>
      </c>
      <c r="F1087" s="843">
        <v>407</v>
      </c>
      <c r="G1087" s="195">
        <f t="shared" si="83"/>
        <v>25.061425061425062</v>
      </c>
      <c r="I1087" s="40" t="s">
        <v>1869</v>
      </c>
      <c r="J1087" s="66"/>
      <c r="K1087" s="32">
        <v>2.39</v>
      </c>
      <c r="L1087" s="30">
        <v>200</v>
      </c>
      <c r="M1087" s="41">
        <f t="shared" si="84"/>
        <v>11.950000000000001</v>
      </c>
      <c r="O1087" s="50" t="s">
        <v>1145</v>
      </c>
    </row>
    <row r="1088" spans="2:15" ht="12.75">
      <c r="B1088" s="195">
        <v>8.2</v>
      </c>
      <c r="C1088" s="195">
        <v>1.6</v>
      </c>
      <c r="D1088" s="195">
        <v>4.4</v>
      </c>
      <c r="F1088" s="198">
        <v>372</v>
      </c>
      <c r="G1088" s="195">
        <f t="shared" si="83"/>
        <v>22.043010752688172</v>
      </c>
      <c r="I1088" s="21" t="s">
        <v>1565</v>
      </c>
      <c r="J1088" s="22">
        <v>1.99</v>
      </c>
      <c r="K1088" s="22">
        <f>J1088*0.99</f>
        <v>1.9701</v>
      </c>
      <c r="L1088" s="23">
        <v>200</v>
      </c>
      <c r="M1088" s="22">
        <f t="shared" si="84"/>
        <v>9.8505</v>
      </c>
      <c r="N1088" s="423" t="s">
        <v>2650</v>
      </c>
      <c r="O1088" s="24" t="s">
        <v>2170</v>
      </c>
    </row>
    <row r="1089" spans="2:15" ht="12.75">
      <c r="B1089" s="195">
        <v>8.2</v>
      </c>
      <c r="C1089" s="195">
        <v>1.6</v>
      </c>
      <c r="D1089" s="195">
        <v>4.4</v>
      </c>
      <c r="F1089" s="198">
        <v>372</v>
      </c>
      <c r="G1089" s="195">
        <f t="shared" si="83"/>
        <v>22.043010752688172</v>
      </c>
      <c r="I1089" s="59" t="s">
        <v>190</v>
      </c>
      <c r="J1089" s="103">
        <v>2.39</v>
      </c>
      <c r="K1089" s="5">
        <f>J1089*0.99</f>
        <v>2.3661000000000003</v>
      </c>
      <c r="L1089" s="30">
        <v>200</v>
      </c>
      <c r="M1089" s="41">
        <f t="shared" si="84"/>
        <v>11.8305</v>
      </c>
      <c r="O1089" s="50" t="s">
        <v>1742</v>
      </c>
    </row>
    <row r="1090" spans="2:15" ht="12.75">
      <c r="B1090" s="195">
        <v>8.2</v>
      </c>
      <c r="C1090" s="195">
        <v>1.6</v>
      </c>
      <c r="D1090" s="195">
        <v>4.4</v>
      </c>
      <c r="F1090" s="198">
        <v>372</v>
      </c>
      <c r="G1090" s="195">
        <f t="shared" si="83"/>
        <v>22.043010752688172</v>
      </c>
      <c r="I1090" s="40" t="s">
        <v>713</v>
      </c>
      <c r="J1090" s="66"/>
      <c r="K1090" s="32">
        <v>2.39</v>
      </c>
      <c r="L1090" s="30">
        <v>200</v>
      </c>
      <c r="M1090" s="41">
        <f t="shared" si="84"/>
        <v>11.950000000000001</v>
      </c>
      <c r="O1090" s="50" t="s">
        <v>1145</v>
      </c>
    </row>
    <row r="1091" spans="2:15" ht="12.75">
      <c r="B1091" s="195">
        <v>8.2</v>
      </c>
      <c r="C1091" s="195">
        <v>1.6</v>
      </c>
      <c r="D1091" s="195">
        <v>4.4</v>
      </c>
      <c r="F1091" s="198">
        <v>372</v>
      </c>
      <c r="G1091" s="195">
        <f t="shared" si="83"/>
        <v>22.043010752688172</v>
      </c>
      <c r="I1091" s="28" t="s">
        <v>839</v>
      </c>
      <c r="J1091" s="96"/>
      <c r="K1091" s="29">
        <v>2.29</v>
      </c>
      <c r="L1091" s="30">
        <v>200</v>
      </c>
      <c r="M1091" s="29">
        <f t="shared" si="84"/>
        <v>11.45</v>
      </c>
      <c r="O1091" s="24" t="s">
        <v>1286</v>
      </c>
    </row>
    <row r="1092" spans="2:15" ht="12.75">
      <c r="B1092" s="195">
        <v>8.2</v>
      </c>
      <c r="C1092" s="195">
        <v>1.6</v>
      </c>
      <c r="D1092" s="195">
        <v>4.4</v>
      </c>
      <c r="F1092" s="198">
        <v>372</v>
      </c>
      <c r="G1092" s="195">
        <f t="shared" si="83"/>
        <v>22.043010752688172</v>
      </c>
      <c r="I1092" s="56" t="s">
        <v>1330</v>
      </c>
      <c r="J1092" s="66"/>
      <c r="K1092" s="32">
        <v>2.29</v>
      </c>
      <c r="L1092" s="30">
        <v>200</v>
      </c>
      <c r="M1092" s="41">
        <f t="shared" si="84"/>
        <v>11.45</v>
      </c>
      <c r="O1092" s="24" t="s">
        <v>2320</v>
      </c>
    </row>
    <row r="1093" spans="2:15" ht="12.75">
      <c r="B1093" s="195">
        <v>9.9</v>
      </c>
      <c r="C1093" s="195">
        <v>2.7</v>
      </c>
      <c r="D1093" s="645">
        <v>10.8</v>
      </c>
      <c r="F1093" s="198">
        <v>615</v>
      </c>
      <c r="G1093" s="390">
        <f>B1093/F1093*1000</f>
        <v>16.097560975609756</v>
      </c>
      <c r="H1093" s="390"/>
      <c r="I1093" s="109" t="s">
        <v>1569</v>
      </c>
      <c r="J1093" s="924">
        <v>1.99</v>
      </c>
      <c r="K1093" s="774">
        <f>J1093*0.99</f>
        <v>1.9701</v>
      </c>
      <c r="L1093" s="23">
        <v>200</v>
      </c>
      <c r="M1093" s="22">
        <f>K1093/L1093*1000</f>
        <v>9.8505</v>
      </c>
      <c r="N1093" s="423" t="s">
        <v>2650</v>
      </c>
      <c r="O1093" s="24" t="s">
        <v>2170</v>
      </c>
    </row>
    <row r="1094" spans="2:15" ht="12.75">
      <c r="B1094" s="195">
        <v>9.9</v>
      </c>
      <c r="C1094" s="195">
        <v>2.7</v>
      </c>
      <c r="D1094" s="645">
        <v>10.8</v>
      </c>
      <c r="F1094" s="198">
        <v>615</v>
      </c>
      <c r="G1094" s="390">
        <f t="shared" si="83"/>
        <v>16.097560975609756</v>
      </c>
      <c r="H1094" s="390"/>
      <c r="I1094" s="277" t="s">
        <v>3026</v>
      </c>
      <c r="J1094" s="66"/>
      <c r="K1094" s="32">
        <v>2.29</v>
      </c>
      <c r="L1094" s="30">
        <v>200</v>
      </c>
      <c r="M1094" s="41">
        <f t="shared" si="84"/>
        <v>11.45</v>
      </c>
      <c r="O1094" s="24" t="s">
        <v>2320</v>
      </c>
    </row>
    <row r="1095" spans="2:15" ht="12.75">
      <c r="B1095" s="195">
        <v>13.7</v>
      </c>
      <c r="C1095" s="195">
        <v>2.4</v>
      </c>
      <c r="D1095" s="319">
        <v>7</v>
      </c>
      <c r="F1095" s="198">
        <v>540</v>
      </c>
      <c r="G1095" s="195">
        <f t="shared" si="83"/>
        <v>25.37037037037037</v>
      </c>
      <c r="I1095" s="40" t="s">
        <v>2484</v>
      </c>
      <c r="J1095" s="66"/>
      <c r="K1095" s="32">
        <v>2.29</v>
      </c>
      <c r="L1095" s="30">
        <v>200</v>
      </c>
      <c r="M1095" s="25">
        <f t="shared" si="84"/>
        <v>11.45</v>
      </c>
      <c r="O1095" s="24" t="s">
        <v>2320</v>
      </c>
    </row>
    <row r="1096" spans="9:13" ht="12.75">
      <c r="I1096" s="40"/>
      <c r="J1096" s="66"/>
      <c r="K1096" s="32"/>
      <c r="L1096" s="30"/>
      <c r="M1096" s="41"/>
    </row>
    <row r="1097" spans="9:13" ht="12.75">
      <c r="I1097" s="40"/>
      <c r="J1097" s="66"/>
      <c r="K1097" s="32"/>
      <c r="L1097" s="30"/>
      <c r="M1097" s="41"/>
    </row>
    <row r="1098" spans="9:13" ht="12.75">
      <c r="I1098" s="40"/>
      <c r="J1098" s="66"/>
      <c r="K1098" s="32"/>
      <c r="L1098" s="30"/>
      <c r="M1098" s="41"/>
    </row>
    <row r="1099" spans="9:13" ht="12.75">
      <c r="I1099" s="40"/>
      <c r="J1099" s="66"/>
      <c r="K1099" s="32"/>
      <c r="L1099" s="30"/>
      <c r="M1099" s="41"/>
    </row>
    <row r="1100" spans="9:13" ht="12.75">
      <c r="I1100" s="40"/>
      <c r="J1100" s="66"/>
      <c r="K1100" s="32"/>
      <c r="L1100" s="30"/>
      <c r="M1100" s="41"/>
    </row>
    <row r="1101" spans="9:13" ht="12.75">
      <c r="I1101" s="59"/>
      <c r="J1101" s="66"/>
      <c r="K1101" s="32"/>
      <c r="L1101" s="30"/>
      <c r="M1101" s="32"/>
    </row>
    <row r="1102" spans="2:20" s="3" customFormat="1" ht="15.75">
      <c r="B1102" s="196"/>
      <c r="C1102" s="196"/>
      <c r="D1102" s="196"/>
      <c r="E1102" s="738"/>
      <c r="F1102" s="199"/>
      <c r="G1102" s="196"/>
      <c r="H1102" s="196"/>
      <c r="I1102" s="52" t="s">
        <v>1125</v>
      </c>
      <c r="J1102" s="177"/>
      <c r="K1102" s="8"/>
      <c r="M1102" s="8"/>
      <c r="N1102" s="14"/>
      <c r="O1102" s="50"/>
      <c r="T1102" s="11"/>
    </row>
    <row r="1103" spans="2:20" s="3" customFormat="1" ht="12.75">
      <c r="B1103" s="196">
        <v>22.6</v>
      </c>
      <c r="C1103" s="196">
        <v>4.1</v>
      </c>
      <c r="D1103" s="196">
        <v>23.5</v>
      </c>
      <c r="E1103" s="738"/>
      <c r="F1103" s="199">
        <v>1323</v>
      </c>
      <c r="G1103" s="195">
        <f>B1103/F1103*1000</f>
        <v>17.08238851095994</v>
      </c>
      <c r="H1103" s="195"/>
      <c r="I1103" s="571" t="s">
        <v>3070</v>
      </c>
      <c r="J1103" s="572"/>
      <c r="K1103" s="573">
        <v>0.89</v>
      </c>
      <c r="L1103" s="574">
        <v>60</v>
      </c>
      <c r="M1103" s="348">
        <f>K1103/L1103*1000</f>
        <v>14.833333333333334</v>
      </c>
      <c r="N1103" s="14"/>
      <c r="O1103" s="24" t="s">
        <v>2802</v>
      </c>
      <c r="T1103" s="11"/>
    </row>
    <row r="1104" spans="2:20" s="3" customFormat="1" ht="12.75">
      <c r="B1104" s="196"/>
      <c r="C1104" s="196"/>
      <c r="D1104" s="196"/>
      <c r="E1104" s="738"/>
      <c r="F1104" s="199"/>
      <c r="G1104" s="196"/>
      <c r="H1104" s="196"/>
      <c r="I1104" s="298"/>
      <c r="J1104" s="177"/>
      <c r="K1104" s="8"/>
      <c r="M1104" s="8"/>
      <c r="N1104" s="14"/>
      <c r="O1104" s="50"/>
      <c r="T1104" s="11"/>
    </row>
    <row r="1105" spans="2:20" s="3" customFormat="1" ht="12.75">
      <c r="B1105" s="196"/>
      <c r="C1105" s="196"/>
      <c r="D1105" s="196"/>
      <c r="E1105" s="738"/>
      <c r="F1105" s="199"/>
      <c r="G1105" s="196"/>
      <c r="H1105" s="196"/>
      <c r="I1105" s="298"/>
      <c r="J1105" s="177"/>
      <c r="K1105" s="8"/>
      <c r="M1105" s="8"/>
      <c r="N1105" s="14"/>
      <c r="O1105" s="50"/>
      <c r="T1105" s="11"/>
    </row>
    <row r="1106" ht="12.75">
      <c r="M1106" s="5"/>
    </row>
    <row r="1107" spans="9:13" ht="15.75">
      <c r="I1107" s="176" t="s">
        <v>2075</v>
      </c>
      <c r="J1107" s="153"/>
      <c r="M1107" s="5"/>
    </row>
    <row r="1108" spans="9:15" ht="12.75">
      <c r="I1108" s="28" t="s">
        <v>2617</v>
      </c>
      <c r="J1108" s="96"/>
      <c r="K1108" s="29">
        <v>2.69</v>
      </c>
      <c r="L1108" s="30">
        <v>200</v>
      </c>
      <c r="M1108" s="29">
        <f aca="true" t="shared" si="85" ref="M1108:M1113">K1108/L1108*1000</f>
        <v>13.45</v>
      </c>
      <c r="N1108" s="30"/>
      <c r="O1108" s="125" t="s">
        <v>2083</v>
      </c>
    </row>
    <row r="1109" spans="9:15" ht="12.75">
      <c r="I1109" s="71" t="s">
        <v>2617</v>
      </c>
      <c r="J1109" s="96">
        <v>2.49</v>
      </c>
      <c r="K1109" s="29">
        <f>J1109*0.97</f>
        <v>2.4153000000000002</v>
      </c>
      <c r="L1109" s="30">
        <v>200</v>
      </c>
      <c r="M1109" s="29">
        <f t="shared" si="85"/>
        <v>12.076500000000001</v>
      </c>
      <c r="N1109" s="30"/>
      <c r="O1109" s="125" t="s">
        <v>2974</v>
      </c>
    </row>
    <row r="1110" spans="9:15" ht="12.75">
      <c r="I1110" s="28" t="s">
        <v>3071</v>
      </c>
      <c r="J1110" s="96">
        <v>2.79</v>
      </c>
      <c r="K1110" s="29">
        <f>J1110*0.97</f>
        <v>2.7063</v>
      </c>
      <c r="L1110" s="30">
        <v>200</v>
      </c>
      <c r="M1110" s="29">
        <f t="shared" si="85"/>
        <v>13.5315</v>
      </c>
      <c r="N1110" s="30"/>
      <c r="O1110" s="88" t="s">
        <v>326</v>
      </c>
    </row>
    <row r="1111" spans="9:15" ht="12.75">
      <c r="I1111" s="71" t="s">
        <v>3071</v>
      </c>
      <c r="J1111" s="96">
        <v>2.6</v>
      </c>
      <c r="K1111" s="29">
        <f>J1111*0.97</f>
        <v>2.522</v>
      </c>
      <c r="L1111" s="30">
        <v>200</v>
      </c>
      <c r="M1111" s="29">
        <f t="shared" si="85"/>
        <v>12.61</v>
      </c>
      <c r="N1111" s="30"/>
      <c r="O1111" s="24" t="s">
        <v>646</v>
      </c>
    </row>
    <row r="1112" spans="9:15" ht="12.75">
      <c r="I1112" s="28" t="s">
        <v>1051</v>
      </c>
      <c r="J1112" s="96">
        <v>2.19</v>
      </c>
      <c r="K1112" s="29">
        <f>J1112*0.97</f>
        <v>2.1243</v>
      </c>
      <c r="L1112" s="30">
        <v>200</v>
      </c>
      <c r="M1112" s="29">
        <f t="shared" si="85"/>
        <v>10.6215</v>
      </c>
      <c r="N1112" s="30" t="s">
        <v>1108</v>
      </c>
      <c r="O1112" s="24" t="s">
        <v>1035</v>
      </c>
    </row>
    <row r="1113" spans="9:15" ht="12.75">
      <c r="I1113" s="71" t="s">
        <v>2217</v>
      </c>
      <c r="J1113" s="96"/>
      <c r="K1113" s="29">
        <v>2.32</v>
      </c>
      <c r="L1113" s="30">
        <v>200</v>
      </c>
      <c r="M1113" s="29">
        <f t="shared" si="85"/>
        <v>11.6</v>
      </c>
      <c r="N1113" s="30" t="s">
        <v>1108</v>
      </c>
      <c r="O1113" s="24" t="s">
        <v>2943</v>
      </c>
    </row>
    <row r="1114" ht="12.75">
      <c r="M1114" s="5"/>
    </row>
    <row r="1115" spans="9:14" ht="12.75">
      <c r="I1115" s="59" t="s">
        <v>1117</v>
      </c>
      <c r="J1115" s="66"/>
      <c r="M1115" s="5"/>
      <c r="N1115" s="33"/>
    </row>
    <row r="1116" spans="9:13" ht="18">
      <c r="I1116" s="355" t="s">
        <v>2272</v>
      </c>
      <c r="J1116" s="153"/>
      <c r="M1116" s="5"/>
    </row>
    <row r="1117" spans="9:16" ht="12.75">
      <c r="I1117" s="71" t="s">
        <v>789</v>
      </c>
      <c r="J1117" s="158"/>
      <c r="K1117" s="116">
        <v>1.95</v>
      </c>
      <c r="L1117" s="30">
        <v>200</v>
      </c>
      <c r="M1117" s="29">
        <f>K1117/L1117*1000</f>
        <v>9.75</v>
      </c>
      <c r="N1117" s="996" t="s">
        <v>465</v>
      </c>
      <c r="O1117" s="54" t="s">
        <v>2434</v>
      </c>
      <c r="P1117" s="42"/>
    </row>
    <row r="1118" spans="2:16" ht="12.75">
      <c r="B1118" s="195">
        <v>23</v>
      </c>
      <c r="C1118" s="195">
        <v>2.4</v>
      </c>
      <c r="D1118" s="195">
        <v>1.6</v>
      </c>
      <c r="F1118" s="198">
        <v>500</v>
      </c>
      <c r="G1118" s="195">
        <f>B1118/F1118*1000</f>
        <v>46</v>
      </c>
      <c r="I1118" s="97" t="s">
        <v>331</v>
      </c>
      <c r="J1118" s="61"/>
      <c r="K1118" s="276">
        <v>2.99</v>
      </c>
      <c r="L1118" s="42">
        <v>200</v>
      </c>
      <c r="M1118" s="41">
        <f>K1118/L1118*1000</f>
        <v>14.950000000000001</v>
      </c>
      <c r="N1118" s="440"/>
      <c r="O1118" s="125" t="s">
        <v>2514</v>
      </c>
      <c r="P1118" s="42"/>
    </row>
    <row r="1119" spans="2:16" ht="12.75">
      <c r="B1119" s="195">
        <v>23</v>
      </c>
      <c r="C1119" s="195">
        <v>2.4</v>
      </c>
      <c r="D1119" s="195">
        <v>1.6</v>
      </c>
      <c r="F1119" s="198">
        <v>500</v>
      </c>
      <c r="G1119" s="195">
        <f>B1119/F1119*1000</f>
        <v>46</v>
      </c>
      <c r="I1119" s="97" t="s">
        <v>2196</v>
      </c>
      <c r="J1119" s="61"/>
      <c r="K1119" s="276">
        <v>2.99</v>
      </c>
      <c r="L1119" s="42">
        <v>200</v>
      </c>
      <c r="M1119" s="41">
        <f>K1119/L1119*1000</f>
        <v>14.950000000000001</v>
      </c>
      <c r="N1119" s="440"/>
      <c r="O1119" s="125" t="s">
        <v>1424</v>
      </c>
      <c r="P1119" s="42"/>
    </row>
    <row r="1120" spans="2:16" ht="12.75">
      <c r="B1120" s="195">
        <v>23</v>
      </c>
      <c r="C1120" s="195">
        <v>2.4</v>
      </c>
      <c r="D1120" s="195">
        <v>1.6</v>
      </c>
      <c r="F1120" s="198">
        <v>500</v>
      </c>
      <c r="G1120" s="195">
        <f>B1120/F1120*1000</f>
        <v>46</v>
      </c>
      <c r="I1120" s="71" t="s">
        <v>2196</v>
      </c>
      <c r="J1120" s="96"/>
      <c r="K1120" s="116">
        <v>2.89</v>
      </c>
      <c r="L1120" s="30">
        <v>200</v>
      </c>
      <c r="M1120" s="29">
        <f>K1120/L1120*1000</f>
        <v>14.450000000000001</v>
      </c>
      <c r="N1120" s="440"/>
      <c r="O1120" s="125" t="s">
        <v>2124</v>
      </c>
      <c r="P1120" s="42"/>
    </row>
    <row r="1121" spans="2:16" ht="12.75">
      <c r="B1121" s="195">
        <v>22</v>
      </c>
      <c r="C1121" s="195">
        <v>1.8</v>
      </c>
      <c r="D1121" s="195">
        <v>1.7</v>
      </c>
      <c r="F1121" s="198">
        <v>486</v>
      </c>
      <c r="G1121" s="195">
        <f>B1121/F1121*1000</f>
        <v>45.26748971193416</v>
      </c>
      <c r="I1121" s="97" t="s">
        <v>76</v>
      </c>
      <c r="J1121" s="61"/>
      <c r="K1121" s="276">
        <v>2.99</v>
      </c>
      <c r="L1121" s="42">
        <v>200</v>
      </c>
      <c r="M1121" s="41">
        <f aca="true" t="shared" si="86" ref="M1121:M1129">K1121/L1121*1000</f>
        <v>14.950000000000001</v>
      </c>
      <c r="N1121" s="440"/>
      <c r="O1121" s="125" t="s">
        <v>62</v>
      </c>
      <c r="P1121" s="42"/>
    </row>
    <row r="1122" spans="2:16" ht="12.75">
      <c r="B1122" s="195">
        <v>22.1</v>
      </c>
      <c r="C1122" s="195">
        <v>3.8</v>
      </c>
      <c r="D1122" s="195">
        <v>0.2</v>
      </c>
      <c r="F1122" s="198">
        <v>447</v>
      </c>
      <c r="G1122" s="195">
        <f>B1122/F1122*1000</f>
        <v>49.44071588366891</v>
      </c>
      <c r="I1122" s="40" t="s">
        <v>3163</v>
      </c>
      <c r="J1122" s="852"/>
      <c r="K1122" s="41">
        <v>3.69</v>
      </c>
      <c r="L1122" s="42">
        <v>200</v>
      </c>
      <c r="M1122" s="41">
        <f>K1122/L1122*1000</f>
        <v>18.450000000000003</v>
      </c>
      <c r="N1122" s="440"/>
      <c r="O1122" s="125" t="s">
        <v>1607</v>
      </c>
      <c r="P1122" s="42"/>
    </row>
    <row r="1123" spans="9:16" ht="12.75">
      <c r="I1123" s="209" t="s">
        <v>1264</v>
      </c>
      <c r="J1123" s="163">
        <v>5.59</v>
      </c>
      <c r="K1123" s="276">
        <f>J1123*0.9</f>
        <v>5.031</v>
      </c>
      <c r="L1123" s="42">
        <v>250</v>
      </c>
      <c r="M1123" s="25">
        <f t="shared" si="86"/>
        <v>20.124</v>
      </c>
      <c r="N1123" s="440"/>
      <c r="O1123" s="125" t="s">
        <v>1669</v>
      </c>
      <c r="P1123" s="42"/>
    </row>
    <row r="1124" spans="9:16" ht="12.75">
      <c r="I1124" s="37" t="s">
        <v>2476</v>
      </c>
      <c r="J1124" s="852"/>
      <c r="K1124" s="41">
        <v>3.99</v>
      </c>
      <c r="L1124" s="42">
        <v>200</v>
      </c>
      <c r="M1124" s="41">
        <f t="shared" si="86"/>
        <v>19.950000000000003</v>
      </c>
      <c r="N1124" s="440"/>
      <c r="O1124" s="832" t="s">
        <v>1607</v>
      </c>
      <c r="P1124" s="42"/>
    </row>
    <row r="1125" spans="2:16" ht="12.75">
      <c r="B1125" s="195">
        <v>21.3</v>
      </c>
      <c r="C1125" s="195">
        <v>4.1</v>
      </c>
      <c r="D1125" s="195">
        <v>1.6</v>
      </c>
      <c r="F1125" s="198">
        <v>490</v>
      </c>
      <c r="G1125" s="195">
        <f>B1125/F1125*1000</f>
        <v>43.46938775510204</v>
      </c>
      <c r="I1125" s="86" t="s">
        <v>1428</v>
      </c>
      <c r="J1125" s="163"/>
      <c r="K1125" s="276">
        <v>6.49</v>
      </c>
      <c r="L1125" s="42">
        <v>250</v>
      </c>
      <c r="M1125" s="25">
        <f t="shared" si="86"/>
        <v>25.96</v>
      </c>
      <c r="N1125" s="440"/>
      <c r="O1125" s="24" t="s">
        <v>1444</v>
      </c>
      <c r="P1125" s="42"/>
    </row>
    <row r="1126" spans="9:16" ht="12.75">
      <c r="I1126" s="86" t="s">
        <v>889</v>
      </c>
      <c r="J1126" s="163">
        <v>6.49</v>
      </c>
      <c r="K1126" s="276">
        <f>J1126*0.9</f>
        <v>5.841</v>
      </c>
      <c r="L1126" s="42">
        <v>250</v>
      </c>
      <c r="M1126" s="41">
        <f t="shared" si="86"/>
        <v>23.364</v>
      </c>
      <c r="N1126" s="440"/>
      <c r="O1126" s="125" t="s">
        <v>689</v>
      </c>
      <c r="P1126" s="42"/>
    </row>
    <row r="1127" spans="9:16" ht="12.75">
      <c r="I1127" s="209" t="s">
        <v>3073</v>
      </c>
      <c r="J1127" s="163">
        <v>5.39</v>
      </c>
      <c r="K1127" s="276">
        <f>J1127*0.9</f>
        <v>4.851</v>
      </c>
      <c r="L1127" s="42">
        <v>250</v>
      </c>
      <c r="M1127" s="41">
        <f t="shared" si="86"/>
        <v>19.404</v>
      </c>
      <c r="N1127" s="440"/>
      <c r="O1127" s="125" t="s">
        <v>354</v>
      </c>
      <c r="P1127" s="42"/>
    </row>
    <row r="1128" spans="9:16" ht="12.75">
      <c r="I1128" s="37" t="s">
        <v>888</v>
      </c>
      <c r="J1128" s="96">
        <v>5.59</v>
      </c>
      <c r="K1128" s="29">
        <f>J1128*0.99</f>
        <v>5.5341</v>
      </c>
      <c r="L1128" s="30">
        <v>250</v>
      </c>
      <c r="M1128" s="29">
        <f t="shared" si="86"/>
        <v>22.1364</v>
      </c>
      <c r="N1128" s="426"/>
      <c r="O1128" s="51" t="s">
        <v>2127</v>
      </c>
      <c r="P1128" s="42"/>
    </row>
    <row r="1129" spans="9:16" ht="12.75">
      <c r="I1129" s="28" t="s">
        <v>2602</v>
      </c>
      <c r="J1129" s="96">
        <v>4.99</v>
      </c>
      <c r="K1129" s="29">
        <f>J1129*0.97</f>
        <v>4.8403</v>
      </c>
      <c r="L1129" s="30">
        <v>250</v>
      </c>
      <c r="M1129" s="29">
        <f t="shared" si="86"/>
        <v>19.3612</v>
      </c>
      <c r="N1129" s="440"/>
      <c r="O1129" s="125" t="s">
        <v>2127</v>
      </c>
      <c r="P1129" s="42"/>
    </row>
    <row r="1130" spans="9:16" ht="12.75">
      <c r="I1130" s="28" t="s">
        <v>475</v>
      </c>
      <c r="J1130" s="96">
        <v>4.21</v>
      </c>
      <c r="K1130" s="29">
        <f>J1130*0.97</f>
        <v>4.083699999999999</v>
      </c>
      <c r="L1130" s="30">
        <v>250</v>
      </c>
      <c r="M1130" s="29">
        <f aca="true" t="shared" si="87" ref="M1130:M1140">K1130/L1130*1000</f>
        <v>16.334799999999998</v>
      </c>
      <c r="N1130" s="42"/>
      <c r="O1130" s="125" t="s">
        <v>1035</v>
      </c>
      <c r="P1130" s="42"/>
    </row>
    <row r="1131" spans="9:16" ht="12.75">
      <c r="I1131" s="109" t="s">
        <v>1175</v>
      </c>
      <c r="J1131" s="120">
        <v>4.29</v>
      </c>
      <c r="K1131" s="22">
        <f>J1131*0.97</f>
        <v>4.1613</v>
      </c>
      <c r="L1131" s="23">
        <v>250</v>
      </c>
      <c r="M1131" s="22">
        <f>K1131/L1131*1000</f>
        <v>16.6452</v>
      </c>
      <c r="N1131" s="30"/>
      <c r="O1131" s="24" t="s">
        <v>1304</v>
      </c>
      <c r="P1131" s="104" t="s">
        <v>1258</v>
      </c>
    </row>
    <row r="1132" spans="9:16" ht="12.75">
      <c r="I1132" s="97" t="s">
        <v>1243</v>
      </c>
      <c r="J1132" s="61">
        <v>4.99</v>
      </c>
      <c r="K1132" s="41">
        <f>J1132*0.99</f>
        <v>4.9401</v>
      </c>
      <c r="L1132" s="42">
        <v>250</v>
      </c>
      <c r="M1132" s="41">
        <f>K1132/L1132*1000</f>
        <v>19.7604</v>
      </c>
      <c r="N1132" s="33"/>
      <c r="O1132" s="24" t="s">
        <v>1904</v>
      </c>
      <c r="P1132" s="104"/>
    </row>
    <row r="1133" spans="2:16" s="10" customFormat="1" ht="12.75">
      <c r="B1133" s="218"/>
      <c r="C1133" s="218"/>
      <c r="D1133" s="218"/>
      <c r="E1133" s="737"/>
      <c r="F1133" s="219"/>
      <c r="G1133" s="218"/>
      <c r="H1133" s="218"/>
      <c r="I1133" s="255" t="s">
        <v>1676</v>
      </c>
      <c r="J1133" s="256"/>
      <c r="K1133" s="257">
        <v>4.59</v>
      </c>
      <c r="L1133" s="627">
        <v>250</v>
      </c>
      <c r="M1133" s="257">
        <f t="shared" si="87"/>
        <v>18.36</v>
      </c>
      <c r="N1133" s="627" t="s">
        <v>2265</v>
      </c>
      <c r="O1133" s="224" t="s">
        <v>1639</v>
      </c>
      <c r="P1133" s="627" t="s">
        <v>1174</v>
      </c>
    </row>
    <row r="1134" spans="2:16" s="705" customFormat="1" ht="12.75">
      <c r="B1134" s="691"/>
      <c r="C1134" s="691"/>
      <c r="D1134" s="691"/>
      <c r="E1134" s="747"/>
      <c r="F1134" s="699"/>
      <c r="G1134" s="691"/>
      <c r="H1134" s="691"/>
      <c r="I1134" s="759" t="s">
        <v>1454</v>
      </c>
      <c r="J1134" s="760">
        <v>6.29</v>
      </c>
      <c r="K1134" s="761">
        <f aca="true" t="shared" si="88" ref="K1134:K1139">J1134*0.97</f>
        <v>6.1013</v>
      </c>
      <c r="L1134" s="705">
        <v>250</v>
      </c>
      <c r="M1134" s="761">
        <f>K1134/L1134*1000</f>
        <v>24.4052</v>
      </c>
      <c r="N1134" s="702"/>
      <c r="O1134" s="704" t="s">
        <v>1539</v>
      </c>
      <c r="P1134" s="762"/>
    </row>
    <row r="1135" spans="9:15" ht="12.75">
      <c r="I1135" s="59" t="s">
        <v>1636</v>
      </c>
      <c r="J1135" s="154">
        <v>2.34</v>
      </c>
      <c r="K1135" s="62">
        <f t="shared" si="88"/>
        <v>2.2697999999999996</v>
      </c>
      <c r="L1135" s="63">
        <v>250</v>
      </c>
      <c r="M1135" s="62">
        <f>K1135/L1135*1000</f>
        <v>9.079199999999998</v>
      </c>
      <c r="N1135" s="13" t="s">
        <v>527</v>
      </c>
      <c r="O1135" s="125" t="s">
        <v>2170</v>
      </c>
    </row>
    <row r="1136" spans="9:15" ht="12.75">
      <c r="I1136" s="97" t="s">
        <v>26</v>
      </c>
      <c r="J1136" s="61">
        <v>2.35</v>
      </c>
      <c r="K1136" s="41">
        <f t="shared" si="88"/>
        <v>2.2795</v>
      </c>
      <c r="L1136" s="42">
        <v>200</v>
      </c>
      <c r="M1136" s="41">
        <f>K1136/L1136*1000</f>
        <v>11.397499999999999</v>
      </c>
      <c r="N1136" s="13" t="s">
        <v>527</v>
      </c>
      <c r="O1136" s="125" t="s">
        <v>2170</v>
      </c>
    </row>
    <row r="1137" spans="9:15" ht="12.75">
      <c r="I1137" s="40" t="s">
        <v>25</v>
      </c>
      <c r="J1137" s="61">
        <v>3.63</v>
      </c>
      <c r="K1137" s="41">
        <f t="shared" si="88"/>
        <v>3.5210999999999997</v>
      </c>
      <c r="L1137" s="42">
        <v>200</v>
      </c>
      <c r="M1137" s="41">
        <f t="shared" si="87"/>
        <v>17.6055</v>
      </c>
      <c r="N1137" s="13"/>
      <c r="O1137" s="54"/>
    </row>
    <row r="1138" spans="9:15" ht="12.75">
      <c r="I1138" s="1" t="s">
        <v>7</v>
      </c>
      <c r="J1138" s="4">
        <v>3.63</v>
      </c>
      <c r="K1138" s="5">
        <f t="shared" si="88"/>
        <v>3.5210999999999997</v>
      </c>
      <c r="L1138">
        <v>250</v>
      </c>
      <c r="M1138" s="5">
        <f t="shared" si="87"/>
        <v>14.084399999999999</v>
      </c>
      <c r="N1138" s="14"/>
      <c r="O1138" s="24" t="s">
        <v>2623</v>
      </c>
    </row>
    <row r="1139" spans="9:15" ht="12.75">
      <c r="I1139" s="37" t="s">
        <v>1670</v>
      </c>
      <c r="J1139" s="38">
        <v>5.81</v>
      </c>
      <c r="K1139" s="25">
        <f t="shared" si="88"/>
        <v>5.635699999999999</v>
      </c>
      <c r="L1139" s="26">
        <v>300</v>
      </c>
      <c r="M1139" s="25">
        <f t="shared" si="87"/>
        <v>18.785666666666664</v>
      </c>
      <c r="N1139" s="926" t="s">
        <v>899</v>
      </c>
      <c r="O1139" s="24" t="s">
        <v>2625</v>
      </c>
    </row>
    <row r="1140" spans="9:15" ht="12.75">
      <c r="I1140" s="610" t="s">
        <v>2816</v>
      </c>
      <c r="J1140" s="38"/>
      <c r="K1140" s="25">
        <v>3.56</v>
      </c>
      <c r="L1140" s="26">
        <v>200</v>
      </c>
      <c r="M1140" s="25">
        <f t="shared" si="87"/>
        <v>17.8</v>
      </c>
      <c r="N1140" s="26" t="s">
        <v>900</v>
      </c>
      <c r="O1140" s="24" t="s">
        <v>2625</v>
      </c>
    </row>
    <row r="1141" spans="9:13" ht="12.75">
      <c r="I1141" s="59"/>
      <c r="J1141" s="61"/>
      <c r="K1141" s="32"/>
      <c r="L1141" s="33"/>
      <c r="M1141" s="32"/>
    </row>
    <row r="1142" spans="9:15" ht="15.75">
      <c r="I1142" s="178" t="s">
        <v>1165</v>
      </c>
      <c r="J1142" s="61"/>
      <c r="K1142" s="61"/>
      <c r="M1142" s="5"/>
      <c r="N1142" s="7"/>
      <c r="O1142" s="88"/>
    </row>
    <row r="1143" spans="9:15" ht="12.75">
      <c r="I1143" s="31" t="s">
        <v>2257</v>
      </c>
      <c r="J1143" s="61"/>
      <c r="K1143" s="61"/>
      <c r="M1143" s="5"/>
      <c r="N1143" s="7"/>
      <c r="O1143" s="88" t="s">
        <v>662</v>
      </c>
    </row>
    <row r="1144" spans="2:15" ht="12.75">
      <c r="B1144" s="195">
        <v>12</v>
      </c>
      <c r="C1144" s="195">
        <v>11.4</v>
      </c>
      <c r="D1144" s="195">
        <v>61.6</v>
      </c>
      <c r="F1144" s="198">
        <v>2774</v>
      </c>
      <c r="G1144" s="195">
        <f>B1144/F1144*1000</f>
        <v>4.325883201153569</v>
      </c>
      <c r="I1144" s="59" t="s">
        <v>2218</v>
      </c>
      <c r="J1144" s="61"/>
      <c r="K1144" s="32">
        <v>1.99</v>
      </c>
      <c r="L1144" s="33">
        <v>200</v>
      </c>
      <c r="M1144" s="103">
        <f>K1144/L1144*1000</f>
        <v>9.950000000000001</v>
      </c>
      <c r="N1144" s="108" t="s">
        <v>1362</v>
      </c>
      <c r="O1144" s="24" t="s">
        <v>354</v>
      </c>
    </row>
    <row r="1145" spans="2:15" ht="12.75">
      <c r="B1145" s="195">
        <v>12</v>
      </c>
      <c r="C1145" s="195">
        <v>11.4</v>
      </c>
      <c r="D1145" s="195">
        <v>61.6</v>
      </c>
      <c r="F1145" s="198">
        <v>2774</v>
      </c>
      <c r="G1145" s="195">
        <f>B1145/F1145*1000</f>
        <v>4.325883201153569</v>
      </c>
      <c r="I1145" s="31" t="s">
        <v>2218</v>
      </c>
      <c r="J1145" s="61"/>
      <c r="K1145" s="32">
        <v>2.99</v>
      </c>
      <c r="L1145" s="33">
        <v>200</v>
      </c>
      <c r="M1145" s="32">
        <f>K1145/L1145*1000</f>
        <v>14.950000000000001</v>
      </c>
      <c r="O1145" s="24" t="s">
        <v>1458</v>
      </c>
    </row>
    <row r="1146" spans="9:15" ht="12.75">
      <c r="I1146" s="31" t="s">
        <v>2258</v>
      </c>
      <c r="J1146" s="61"/>
      <c r="K1146" s="32">
        <v>1.79</v>
      </c>
      <c r="L1146" s="33">
        <v>125</v>
      </c>
      <c r="M1146" s="32">
        <f>K1146/L1146*1000</f>
        <v>14.32</v>
      </c>
      <c r="O1146" s="24" t="s">
        <v>1458</v>
      </c>
    </row>
    <row r="1147" spans="9:13" ht="12.75">
      <c r="I1147" s="31"/>
      <c r="J1147" s="61"/>
      <c r="K1147" s="32"/>
      <c r="L1147" s="33"/>
      <c r="M1147" s="32"/>
    </row>
    <row r="1148" spans="2:13" ht="12.75">
      <c r="B1148" s="195">
        <v>13.8</v>
      </c>
      <c r="C1148" s="195">
        <v>6.1</v>
      </c>
      <c r="D1148" s="195">
        <v>64</v>
      </c>
      <c r="F1148" s="198">
        <v>2742</v>
      </c>
      <c r="G1148" s="195">
        <f>B1148/F1148*1000</f>
        <v>5.032822757111598</v>
      </c>
      <c r="I1148" s="31" t="s">
        <v>877</v>
      </c>
      <c r="J1148" s="61"/>
      <c r="K1148" s="1611" t="s">
        <v>878</v>
      </c>
      <c r="L1148" s="1608"/>
      <c r="M1148" s="1608"/>
    </row>
    <row r="1149" spans="9:13" ht="12.75">
      <c r="I1149" s="31"/>
      <c r="J1149" s="61"/>
      <c r="K1149" s="32"/>
      <c r="L1149" s="33"/>
      <c r="M1149" s="32"/>
    </row>
    <row r="1150" spans="9:13" ht="12.75">
      <c r="I1150" s="31"/>
      <c r="J1150" s="32"/>
      <c r="K1150" s="32"/>
      <c r="L1150" s="33"/>
      <c r="M1150" s="32"/>
    </row>
    <row r="1151" spans="9:13" ht="15.75">
      <c r="I1151" s="52" t="s">
        <v>2410</v>
      </c>
      <c r="J1151" s="61"/>
      <c r="K1151" s="896" t="s">
        <v>1973</v>
      </c>
      <c r="L1151" s="901" t="s">
        <v>3046</v>
      </c>
      <c r="M1151" s="32"/>
    </row>
    <row r="1152" spans="9:15" ht="12.75">
      <c r="I1152" s="86" t="s">
        <v>283</v>
      </c>
      <c r="J1152" s="32"/>
      <c r="K1152" s="897">
        <v>0.5</v>
      </c>
      <c r="L1152" s="902">
        <f>M1152/K1152</f>
        <v>17.98</v>
      </c>
      <c r="M1152" s="276">
        <v>8.99</v>
      </c>
      <c r="O1152" s="24" t="s">
        <v>1458</v>
      </c>
    </row>
    <row r="1153" spans="9:15" ht="12.75">
      <c r="I1153" s="37" t="s">
        <v>1177</v>
      </c>
      <c r="J1153" s="32"/>
      <c r="K1153" s="897">
        <f>(372-207)/372</f>
        <v>0.4435483870967742</v>
      </c>
      <c r="L1153" s="902">
        <f>M1153/K1153</f>
        <v>26.82909090909091</v>
      </c>
      <c r="M1153" s="32">
        <v>11.9</v>
      </c>
      <c r="O1153" s="24" t="s">
        <v>1458</v>
      </c>
    </row>
    <row r="1154" spans="9:15" ht="12.75">
      <c r="I1154" s="43" t="s">
        <v>2194</v>
      </c>
      <c r="J1154" s="32"/>
      <c r="K1154" s="892"/>
      <c r="L1154" s="893"/>
      <c r="M1154" s="32" t="s">
        <v>1178</v>
      </c>
      <c r="O1154" s="716" t="s">
        <v>1458</v>
      </c>
    </row>
    <row r="1155" spans="9:13" ht="15.75">
      <c r="I1155" s="52" t="s">
        <v>8</v>
      </c>
      <c r="J1155" s="61"/>
      <c r="K1155" s="32"/>
      <c r="L1155" s="33"/>
      <c r="M1155" s="32"/>
    </row>
    <row r="1156" spans="2:15" ht="12.75">
      <c r="B1156" s="195">
        <v>14</v>
      </c>
      <c r="C1156" s="195">
        <v>11</v>
      </c>
      <c r="D1156" s="195">
        <v>63</v>
      </c>
      <c r="F1156" s="198">
        <v>2805</v>
      </c>
      <c r="G1156" s="195">
        <f>B1156/F1156*1000</f>
        <v>4.991087344028521</v>
      </c>
      <c r="I1156" s="6" t="s">
        <v>1507</v>
      </c>
      <c r="J1156" s="16"/>
      <c r="K1156" s="16">
        <v>1.88</v>
      </c>
      <c r="L1156" s="7">
        <v>200</v>
      </c>
      <c r="M1156" s="129">
        <f>K1156/L1156*1000</f>
        <v>9.399999999999999</v>
      </c>
      <c r="N1156" s="108" t="s">
        <v>1362</v>
      </c>
      <c r="O1156" s="24" t="s">
        <v>2179</v>
      </c>
    </row>
    <row r="1157" spans="2:15" ht="12.75">
      <c r="B1157" s="195">
        <v>14</v>
      </c>
      <c r="C1157" s="195">
        <v>11</v>
      </c>
      <c r="D1157" s="195">
        <v>63</v>
      </c>
      <c r="F1157" s="198">
        <v>2805</v>
      </c>
      <c r="G1157" s="195">
        <f>B1157/F1157*1000</f>
        <v>4.991087344028521</v>
      </c>
      <c r="I1157" s="6" t="s">
        <v>1507</v>
      </c>
      <c r="J1157" s="16"/>
      <c r="K1157" s="16">
        <v>2.99</v>
      </c>
      <c r="L1157" s="7">
        <v>200</v>
      </c>
      <c r="M1157" s="129">
        <f>K1157/L1157*1000</f>
        <v>14.950000000000001</v>
      </c>
      <c r="O1157" s="716" t="s">
        <v>2179</v>
      </c>
    </row>
    <row r="1158" spans="2:15" ht="12.75">
      <c r="B1158" s="195">
        <v>17</v>
      </c>
      <c r="C1158" s="195">
        <v>10.6</v>
      </c>
      <c r="D1158" s="195">
        <v>62.5</v>
      </c>
      <c r="F1158" s="198">
        <v>2831</v>
      </c>
      <c r="G1158" s="195">
        <f>B1158/F1158*1000</f>
        <v>6.004945249028612</v>
      </c>
      <c r="I1158" s="31" t="s">
        <v>548</v>
      </c>
      <c r="J1158" s="32"/>
      <c r="K1158" s="32">
        <v>2.99</v>
      </c>
      <c r="L1158" s="33">
        <v>200</v>
      </c>
      <c r="M1158" s="58">
        <f>K1158/L1158*1000</f>
        <v>14.950000000000001</v>
      </c>
      <c r="O1158" s="24" t="s">
        <v>1458</v>
      </c>
    </row>
    <row r="1159" spans="9:15" ht="12.75">
      <c r="I1159" s="31" t="s">
        <v>37</v>
      </c>
      <c r="J1159" s="32">
        <v>8.99</v>
      </c>
      <c r="K1159" s="32">
        <f>J1159*0.97</f>
        <v>8.7203</v>
      </c>
      <c r="L1159" s="33">
        <v>500</v>
      </c>
      <c r="M1159" s="58">
        <f>K1159/L1159*1000</f>
        <v>17.4406</v>
      </c>
      <c r="O1159" s="24" t="s">
        <v>943</v>
      </c>
    </row>
    <row r="1160" spans="9:13" ht="12.75">
      <c r="I1160" s="31"/>
      <c r="J1160" s="32"/>
      <c r="K1160" s="32"/>
      <c r="L1160" s="33"/>
      <c r="M1160" s="32"/>
    </row>
    <row r="1161" spans="9:15" ht="15.75">
      <c r="I1161" s="248" t="s">
        <v>1143</v>
      </c>
      <c r="J1161" s="61"/>
      <c r="K1161" s="61"/>
      <c r="M1161" s="5"/>
      <c r="N1161" s="7"/>
      <c r="O1161" s="88"/>
    </row>
    <row r="1162" spans="2:15" ht="12.75">
      <c r="B1162" s="195">
        <v>10</v>
      </c>
      <c r="C1162" s="195">
        <v>41</v>
      </c>
      <c r="D1162" s="195">
        <v>28</v>
      </c>
      <c r="F1162" s="198">
        <v>1959</v>
      </c>
      <c r="G1162" s="195">
        <f>B1162/F1162*1000</f>
        <v>5.104645227156713</v>
      </c>
      <c r="I1162" s="2" t="s">
        <v>2983</v>
      </c>
      <c r="J1162" s="61"/>
      <c r="K1162" s="61">
        <v>7.45</v>
      </c>
      <c r="L1162">
        <v>500</v>
      </c>
      <c r="M1162" s="5">
        <f>K1162/L1162*1000</f>
        <v>14.9</v>
      </c>
      <c r="N1162" s="7"/>
      <c r="O1162" s="88" t="s">
        <v>2451</v>
      </c>
    </row>
    <row r="1163" spans="9:15" ht="12.75">
      <c r="I1163" s="2" t="s">
        <v>503</v>
      </c>
      <c r="J1163" s="61"/>
      <c r="K1163" s="61">
        <v>1.79</v>
      </c>
      <c r="L1163">
        <v>135</v>
      </c>
      <c r="M1163" s="5">
        <f>K1163/L1163*1000</f>
        <v>13.25925925925926</v>
      </c>
      <c r="N1163" s="7"/>
      <c r="O1163" s="88" t="s">
        <v>354</v>
      </c>
    </row>
    <row r="1164" spans="9:15" ht="12.75">
      <c r="I1164" s="28" t="s">
        <v>2856</v>
      </c>
      <c r="J1164" s="96">
        <v>3.59</v>
      </c>
      <c r="K1164" s="96">
        <f>J1164*0.97</f>
        <v>3.4823</v>
      </c>
      <c r="L1164" s="30">
        <v>200</v>
      </c>
      <c r="M1164" s="29">
        <f>K1164/L1164*1000</f>
        <v>17.4115</v>
      </c>
      <c r="N1164" s="7"/>
      <c r="O1164" s="88" t="s">
        <v>1458</v>
      </c>
    </row>
    <row r="1165" spans="9:15" ht="12.75">
      <c r="I1165" s="31"/>
      <c r="J1165" s="61"/>
      <c r="K1165" s="61"/>
      <c r="M1165" s="5"/>
      <c r="N1165" s="7"/>
      <c r="O1165" s="88"/>
    </row>
    <row r="1166" spans="9:14" ht="12.75">
      <c r="I1166" s="31"/>
      <c r="J1166" s="32"/>
      <c r="K1166" s="32"/>
      <c r="L1166" s="33"/>
      <c r="M1166" s="32"/>
      <c r="N1166" s="5"/>
    </row>
    <row r="1167" spans="9:14" ht="15.75">
      <c r="I1167" s="91" t="s">
        <v>1993</v>
      </c>
      <c r="J1167" s="61" t="s">
        <v>1337</v>
      </c>
      <c r="K1167" s="32"/>
      <c r="L1167" s="33"/>
      <c r="M1167" s="107" t="s">
        <v>1875</v>
      </c>
      <c r="N1167" s="102" t="s">
        <v>683</v>
      </c>
    </row>
    <row r="1168" spans="9:15" ht="12.75">
      <c r="I1168" s="31" t="s">
        <v>1750</v>
      </c>
      <c r="J1168" s="61">
        <v>3.29</v>
      </c>
      <c r="K1168" s="32">
        <f>J1168*0.97</f>
        <v>3.1913</v>
      </c>
      <c r="L1168" s="33">
        <v>250</v>
      </c>
      <c r="M1168" s="32">
        <f>K1168/L1168*1000</f>
        <v>12.7652</v>
      </c>
      <c r="N1168" s="5"/>
      <c r="O1168" s="24" t="s">
        <v>354</v>
      </c>
    </row>
    <row r="1169" spans="2:15" s="3" customFormat="1" ht="12.75">
      <c r="B1169" s="196"/>
      <c r="C1169" s="196"/>
      <c r="D1169" s="196"/>
      <c r="E1169" s="738"/>
      <c r="F1169" s="199"/>
      <c r="G1169" s="196"/>
      <c r="H1169" s="196"/>
      <c r="I1169" s="306" t="s">
        <v>1791</v>
      </c>
      <c r="J1169" s="606">
        <v>40</v>
      </c>
      <c r="K1169" s="95">
        <v>1.49</v>
      </c>
      <c r="L1169" s="134">
        <v>524</v>
      </c>
      <c r="M1169" s="95">
        <f aca="true" t="shared" si="89" ref="M1169:M1175">K1169/L1169*1000</f>
        <v>2.8435114503816794</v>
      </c>
      <c r="N1169" s="8">
        <f>M1169/(1-J1169/100)</f>
        <v>4.739185750636133</v>
      </c>
      <c r="O1169" s="50" t="s">
        <v>1539</v>
      </c>
    </row>
    <row r="1170" spans="2:15" s="3" customFormat="1" ht="12.75">
      <c r="B1170" s="196"/>
      <c r="C1170" s="196"/>
      <c r="D1170" s="196"/>
      <c r="E1170" s="738"/>
      <c r="F1170" s="199"/>
      <c r="G1170" s="196"/>
      <c r="H1170" s="196"/>
      <c r="I1170" s="303" t="s">
        <v>1791</v>
      </c>
      <c r="J1170" s="602"/>
      <c r="K1170" s="95">
        <v>1.49</v>
      </c>
      <c r="L1170" s="134">
        <v>630</v>
      </c>
      <c r="M1170" s="95">
        <f t="shared" si="89"/>
        <v>2.365079365079365</v>
      </c>
      <c r="N1170" s="8"/>
      <c r="O1170" s="50" t="s">
        <v>1246</v>
      </c>
    </row>
    <row r="1171" spans="2:15" s="3" customFormat="1" ht="12.75">
      <c r="B1171" s="196"/>
      <c r="C1171" s="196"/>
      <c r="D1171" s="196"/>
      <c r="E1171" s="738"/>
      <c r="F1171" s="199"/>
      <c r="G1171" s="196"/>
      <c r="H1171" s="196"/>
      <c r="I1171" s="303" t="s">
        <v>468</v>
      </c>
      <c r="J1171" s="606">
        <v>30</v>
      </c>
      <c r="K1171" s="95">
        <f>1.79*2</f>
        <v>3.58</v>
      </c>
      <c r="L1171" s="339">
        <v>1303</v>
      </c>
      <c r="M1171" s="95">
        <f t="shared" si="89"/>
        <v>2.747505755947813</v>
      </c>
      <c r="N1171" s="8">
        <f>M1171/(1-J1171/100)</f>
        <v>3.92500822278259</v>
      </c>
      <c r="O1171" s="50" t="s">
        <v>1539</v>
      </c>
    </row>
    <row r="1172" spans="2:15" s="10" customFormat="1" ht="12.75">
      <c r="B1172" s="218"/>
      <c r="C1172" s="218"/>
      <c r="D1172" s="218"/>
      <c r="E1172" s="737"/>
      <c r="F1172" s="219"/>
      <c r="G1172" s="218"/>
      <c r="H1172" s="218"/>
      <c r="I1172" s="75" t="s">
        <v>835</v>
      </c>
      <c r="J1172" s="601"/>
      <c r="K1172" s="76">
        <v>1.79</v>
      </c>
      <c r="L1172" s="77">
        <v>724</v>
      </c>
      <c r="M1172" s="76">
        <f t="shared" si="89"/>
        <v>2.472375690607735</v>
      </c>
      <c r="N1172" s="9"/>
      <c r="O1172" s="224" t="s">
        <v>1246</v>
      </c>
    </row>
    <row r="1173" spans="9:15" ht="12.75">
      <c r="I1173" s="31" t="s">
        <v>1888</v>
      </c>
      <c r="J1173" s="61"/>
      <c r="K1173" s="32">
        <v>1.37</v>
      </c>
      <c r="L1173" s="26">
        <v>200</v>
      </c>
      <c r="M1173" s="32">
        <f t="shared" si="89"/>
        <v>6.8500000000000005</v>
      </c>
      <c r="N1173" s="504" t="s">
        <v>1797</v>
      </c>
      <c r="O1173" s="24" t="s">
        <v>1959</v>
      </c>
    </row>
    <row r="1174" spans="2:15" ht="12.75">
      <c r="B1174" s="195">
        <v>7.8</v>
      </c>
      <c r="C1174" s="195">
        <v>8.2</v>
      </c>
      <c r="D1174" s="195">
        <v>62</v>
      </c>
      <c r="F1174" s="198">
        <v>2566</v>
      </c>
      <c r="G1174" s="195">
        <f>B1174/F1174*1000</f>
        <v>3.03975058456742</v>
      </c>
      <c r="I1174" s="2" t="s">
        <v>2767</v>
      </c>
      <c r="J1174" s="61"/>
      <c r="K1174" s="32">
        <v>1.79</v>
      </c>
      <c r="L1174" s="33">
        <v>250</v>
      </c>
      <c r="M1174" s="103">
        <f t="shared" si="89"/>
        <v>7.16</v>
      </c>
      <c r="N1174" s="607"/>
      <c r="O1174" s="24" t="s">
        <v>1246</v>
      </c>
    </row>
    <row r="1175" spans="2:15" s="10" customFormat="1" ht="12.75">
      <c r="B1175" s="218"/>
      <c r="C1175" s="218"/>
      <c r="D1175" s="218"/>
      <c r="E1175" s="737"/>
      <c r="F1175" s="219"/>
      <c r="G1175" s="218"/>
      <c r="H1175" s="218"/>
      <c r="I1175" s="75" t="s">
        <v>2815</v>
      </c>
      <c r="J1175" s="601"/>
      <c r="K1175" s="76">
        <v>1.99</v>
      </c>
      <c r="L1175" s="77">
        <v>250</v>
      </c>
      <c r="M1175" s="76">
        <f t="shared" si="89"/>
        <v>7.96</v>
      </c>
      <c r="N1175" s="831"/>
      <c r="O1175" s="224" t="s">
        <v>1246</v>
      </c>
    </row>
    <row r="1176" spans="9:15" ht="12.75">
      <c r="I1176" s="28" t="s">
        <v>2732</v>
      </c>
      <c r="J1176" s="96">
        <v>1.89</v>
      </c>
      <c r="K1176" s="29">
        <f>J1176*0.97</f>
        <v>1.8333</v>
      </c>
      <c r="L1176" s="30">
        <v>150</v>
      </c>
      <c r="M1176" s="29">
        <f>K1176/L1176*1000</f>
        <v>12.222</v>
      </c>
      <c r="N1176" s="5"/>
      <c r="O1176" s="24" t="s">
        <v>2695</v>
      </c>
    </row>
    <row r="1177" spans="9:15" ht="12.75">
      <c r="I1177" s="43" t="s">
        <v>1679</v>
      </c>
      <c r="J1177" s="61"/>
      <c r="K1177" s="32">
        <v>1.59</v>
      </c>
      <c r="L1177" s="33">
        <v>175</v>
      </c>
      <c r="M1177" s="25">
        <f>K1177/L1177*1000</f>
        <v>9.085714285714285</v>
      </c>
      <c r="N1177" s="5"/>
      <c r="O1177" s="24" t="s">
        <v>1246</v>
      </c>
    </row>
    <row r="1178" spans="9:15" ht="12.75">
      <c r="I1178" s="43" t="s">
        <v>1948</v>
      </c>
      <c r="J1178" s="61"/>
      <c r="K1178" s="32">
        <v>2.29</v>
      </c>
      <c r="L1178" s="33">
        <v>250</v>
      </c>
      <c r="M1178" s="25">
        <f>K1178/L1178*1000</f>
        <v>9.16</v>
      </c>
      <c r="N1178" s="5"/>
      <c r="O1178" s="24" t="s">
        <v>1246</v>
      </c>
    </row>
    <row r="1179" spans="9:15" ht="12.75">
      <c r="I1179" s="31" t="s">
        <v>2814</v>
      </c>
      <c r="J1179" s="61"/>
      <c r="K1179" s="32">
        <v>1.49</v>
      </c>
      <c r="L1179" s="20">
        <v>175</v>
      </c>
      <c r="M1179" s="32">
        <f>K1179/L1179*1000</f>
        <v>8.514285714285714</v>
      </c>
      <c r="N1179" s="607"/>
      <c r="O1179" s="24" t="s">
        <v>1246</v>
      </c>
    </row>
    <row r="1180" spans="9:15" ht="12.75">
      <c r="I1180" s="31" t="s">
        <v>1437</v>
      </c>
      <c r="J1180" s="61"/>
      <c r="K1180" s="32">
        <v>1.79</v>
      </c>
      <c r="L1180" s="33">
        <v>250</v>
      </c>
      <c r="M1180" s="103">
        <f>K1180/L1180*1000</f>
        <v>7.16</v>
      </c>
      <c r="N1180" s="504" t="s">
        <v>1797</v>
      </c>
      <c r="O1180" s="24" t="s">
        <v>1304</v>
      </c>
    </row>
    <row r="1181" spans="2:14" ht="12.75">
      <c r="B1181" s="195">
        <v>6</v>
      </c>
      <c r="C1181" s="195">
        <v>7</v>
      </c>
      <c r="D1181" s="195">
        <v>68</v>
      </c>
      <c r="F1181" s="198">
        <v>2775</v>
      </c>
      <c r="G1181" s="195">
        <f>B1181/F1181*1000</f>
        <v>2.1621621621621623</v>
      </c>
      <c r="I1181" s="6" t="s">
        <v>2158</v>
      </c>
      <c r="J1181" s="61"/>
      <c r="K1181" s="32"/>
      <c r="L1181" s="33"/>
      <c r="M1181" s="32"/>
      <c r="N1181" s="5"/>
    </row>
    <row r="1182" spans="2:13" ht="12.75">
      <c r="B1182" s="195">
        <v>7</v>
      </c>
      <c r="C1182" s="279">
        <v>2</v>
      </c>
      <c r="D1182" s="273">
        <v>56</v>
      </c>
      <c r="E1182" s="743"/>
      <c r="F1182" s="198">
        <v>2573</v>
      </c>
      <c r="G1182" s="195">
        <f>B1182/F1182*1000</f>
        <v>2.7205596579867857</v>
      </c>
      <c r="I1182" s="6" t="s">
        <v>2085</v>
      </c>
      <c r="J1182" s="61"/>
      <c r="K1182" s="32"/>
      <c r="L1182" s="33"/>
      <c r="M1182" s="32"/>
    </row>
    <row r="1183" spans="2:15" ht="12.75">
      <c r="B1183" s="195">
        <v>6.7</v>
      </c>
      <c r="C1183" s="279">
        <v>7.8</v>
      </c>
      <c r="D1183" s="273">
        <v>60.2</v>
      </c>
      <c r="E1183" s="743"/>
      <c r="F1183" s="198">
        <v>2631</v>
      </c>
      <c r="G1183" s="195">
        <f>B1183/F1183*1000</f>
        <v>2.5465602432535155</v>
      </c>
      <c r="I1183" s="6" t="s">
        <v>1870</v>
      </c>
      <c r="J1183" s="61"/>
      <c r="K1183" s="32">
        <v>0.59</v>
      </c>
      <c r="L1183" s="33">
        <v>200</v>
      </c>
      <c r="M1183" s="32">
        <f>K1183/L1183*1000</f>
        <v>2.9499999999999997</v>
      </c>
      <c r="O1183" s="24" t="s">
        <v>2802</v>
      </c>
    </row>
    <row r="1184" spans="3:13" ht="12.75">
      <c r="C1184" s="279"/>
      <c r="D1184" s="273"/>
      <c r="E1184" s="743"/>
      <c r="I1184" s="6"/>
      <c r="J1184" s="61"/>
      <c r="K1184" s="32"/>
      <c r="L1184" s="33"/>
      <c r="M1184" s="32"/>
    </row>
    <row r="1185" spans="3:13" ht="12.75">
      <c r="C1185" s="279"/>
      <c r="D1185" s="273"/>
      <c r="E1185" s="743"/>
      <c r="I1185" s="6"/>
      <c r="J1185" s="61"/>
      <c r="K1185" s="32"/>
      <c r="L1185" s="33"/>
      <c r="M1185" s="32"/>
    </row>
    <row r="1186" ht="12.75"/>
    <row r="1187" spans="9:13" ht="15.75">
      <c r="I1187" s="91" t="s">
        <v>2586</v>
      </c>
      <c r="J1187" s="61"/>
      <c r="K1187" s="73"/>
      <c r="L1187" s="285"/>
      <c r="M1187" s="73"/>
    </row>
    <row r="1188" spans="8:15" ht="12.75">
      <c r="H1188" s="1212" t="e">
        <f>M1188/F1188*100000</f>
        <v>#DIV/0!</v>
      </c>
      <c r="I1188" s="1505" t="s">
        <v>3146</v>
      </c>
      <c r="J1188" s="66"/>
      <c r="K1188" s="32">
        <v>13.08</v>
      </c>
      <c r="L1188" s="339">
        <v>1000</v>
      </c>
      <c r="M1188" s="32">
        <f>K1188/L1188*1000</f>
        <v>13.08</v>
      </c>
      <c r="N1188" s="763"/>
      <c r="O1188" s="125" t="s">
        <v>416</v>
      </c>
    </row>
    <row r="1189" spans="2:15" ht="12.75">
      <c r="B1189" s="195">
        <v>20</v>
      </c>
      <c r="C1189" s="195">
        <v>20</v>
      </c>
      <c r="D1189" s="195">
        <v>15</v>
      </c>
      <c r="F1189" s="198">
        <v>1498</v>
      </c>
      <c r="G1189" s="195">
        <f>B1189/F1189*1000</f>
        <v>13.35113484646195</v>
      </c>
      <c r="H1189" s="1212">
        <f>M1189/F1189*100000</f>
        <v>567.4232309746327</v>
      </c>
      <c r="I1189" s="697" t="s">
        <v>1980</v>
      </c>
      <c r="J1189" s="66"/>
      <c r="K1189" s="41">
        <v>2.55</v>
      </c>
      <c r="L1189" s="427">
        <v>300</v>
      </c>
      <c r="M1189" s="276">
        <f>K1189/L1189*1000</f>
        <v>8.499999999999998</v>
      </c>
      <c r="N1189" s="763"/>
      <c r="O1189" s="125" t="s">
        <v>3144</v>
      </c>
    </row>
    <row r="1190" spans="2:15" ht="12.75">
      <c r="B1190" s="195">
        <v>20</v>
      </c>
      <c r="C1190" s="195">
        <v>20</v>
      </c>
      <c r="D1190" s="195">
        <v>15</v>
      </c>
      <c r="F1190" s="198">
        <v>1498</v>
      </c>
      <c r="G1190" s="195">
        <f>B1190/F1190*1000</f>
        <v>13.35113484646195</v>
      </c>
      <c r="H1190" s="1212">
        <f>M1190/F1190*100000</f>
        <v>545.171339563863</v>
      </c>
      <c r="I1190" s="1460" t="s">
        <v>1980</v>
      </c>
      <c r="J1190" s="1502"/>
      <c r="K1190" s="1470">
        <v>2.45</v>
      </c>
      <c r="L1190" s="1503">
        <v>300</v>
      </c>
      <c r="M1190" s="1504">
        <f aca="true" t="shared" si="90" ref="M1190:M1197">K1190/L1190*1000</f>
        <v>8.166666666666668</v>
      </c>
      <c r="N1190" s="763"/>
      <c r="O1190" s="125" t="s">
        <v>1281</v>
      </c>
    </row>
    <row r="1191" spans="2:15" ht="12.75">
      <c r="B1191" s="195">
        <v>17.9</v>
      </c>
      <c r="C1191" s="195">
        <v>21.8</v>
      </c>
      <c r="D1191" s="195">
        <v>12.2</v>
      </c>
      <c r="F1191" s="198">
        <v>1459</v>
      </c>
      <c r="G1191" s="195">
        <f>B1191/F1191*1000</f>
        <v>12.268677176148046</v>
      </c>
      <c r="H1191" s="1212">
        <f>M1195/F1191*100000</f>
        <v>1173.4407128169978</v>
      </c>
      <c r="I1191" s="728" t="s">
        <v>2662</v>
      </c>
      <c r="J1191" s="66">
        <v>4.6</v>
      </c>
      <c r="K1191" s="32">
        <f>J1191*0.97</f>
        <v>4.462</v>
      </c>
      <c r="L1191" s="134">
        <v>350</v>
      </c>
      <c r="M1191" s="32">
        <f>K1191/L1191*1000</f>
        <v>12.748571428571429</v>
      </c>
      <c r="N1191" s="267"/>
      <c r="O1191" s="88" t="s">
        <v>2179</v>
      </c>
    </row>
    <row r="1192" spans="9:15" ht="12.75">
      <c r="I1192" s="485" t="s">
        <v>2662</v>
      </c>
      <c r="J1192" s="96">
        <v>4.2</v>
      </c>
      <c r="K1192" s="29">
        <f>J1192*0.9</f>
        <v>3.7800000000000002</v>
      </c>
      <c r="L1192" s="133">
        <v>350</v>
      </c>
      <c r="M1192" s="29">
        <f t="shared" si="90"/>
        <v>10.8</v>
      </c>
      <c r="N1192" s="267" t="s">
        <v>1398</v>
      </c>
      <c r="O1192" s="88" t="s">
        <v>689</v>
      </c>
    </row>
    <row r="1193" spans="9:15" ht="12.75">
      <c r="I1193" s="485" t="s">
        <v>2662</v>
      </c>
      <c r="J1193" s="96">
        <v>4.2</v>
      </c>
      <c r="K1193" s="29">
        <f>J1193*0.97</f>
        <v>4.074</v>
      </c>
      <c r="L1193" s="133">
        <v>350</v>
      </c>
      <c r="M1193" s="29">
        <f t="shared" si="90"/>
        <v>11.639999999999999</v>
      </c>
      <c r="N1193" s="33"/>
      <c r="O1193" s="88" t="s">
        <v>1868</v>
      </c>
    </row>
    <row r="1194" spans="9:15" ht="12.75">
      <c r="I1194" s="485" t="s">
        <v>2472</v>
      </c>
      <c r="J1194" s="96">
        <v>3.69</v>
      </c>
      <c r="K1194" s="29">
        <f>J1194*0.97</f>
        <v>3.5793</v>
      </c>
      <c r="L1194" s="133">
        <v>350</v>
      </c>
      <c r="M1194" s="29">
        <f t="shared" si="90"/>
        <v>10.226571428571429</v>
      </c>
      <c r="N1194" s="33"/>
      <c r="O1194" s="88" t="s">
        <v>1251</v>
      </c>
    </row>
    <row r="1195" spans="8:15" ht="12.75">
      <c r="H1195" s="1212"/>
      <c r="I1195" s="610" t="s">
        <v>924</v>
      </c>
      <c r="J1195" s="66">
        <v>10.59</v>
      </c>
      <c r="K1195" s="32">
        <f>J1195*0.97</f>
        <v>10.2723</v>
      </c>
      <c r="L1195" s="134">
        <v>600</v>
      </c>
      <c r="M1195" s="25">
        <f>K1195/L1195*1000</f>
        <v>17.1205</v>
      </c>
      <c r="N1195" s="267"/>
      <c r="O1195" s="51" t="s">
        <v>2455</v>
      </c>
    </row>
    <row r="1196" spans="2:15" ht="12.75">
      <c r="B1196" s="1007">
        <v>26.2</v>
      </c>
      <c r="C1196" s="1007">
        <v>19.3</v>
      </c>
      <c r="D1196" s="1007">
        <v>8.6</v>
      </c>
      <c r="F1196" s="732">
        <v>1092</v>
      </c>
      <c r="G1196" s="1007">
        <f>B1196/F1196*1000</f>
        <v>23.99267399267399</v>
      </c>
      <c r="I1196" s="610" t="s">
        <v>2335</v>
      </c>
      <c r="J1196" s="66">
        <v>9.9</v>
      </c>
      <c r="K1196" s="32">
        <f>J1196*0.97</f>
        <v>9.603</v>
      </c>
      <c r="L1196" s="134">
        <v>600</v>
      </c>
      <c r="M1196" s="32">
        <f>K1196/L1196*1000</f>
        <v>16.005</v>
      </c>
      <c r="N1196" s="267"/>
      <c r="O1196" s="51" t="s">
        <v>3017</v>
      </c>
    </row>
    <row r="1197" spans="9:15" ht="12.75">
      <c r="I1197" s="610" t="s">
        <v>491</v>
      </c>
      <c r="J1197" s="66"/>
      <c r="K1197" s="32">
        <v>7.99</v>
      </c>
      <c r="L1197" s="427">
        <v>500</v>
      </c>
      <c r="M1197" s="32">
        <f t="shared" si="90"/>
        <v>15.98</v>
      </c>
      <c r="N1197" s="33"/>
      <c r="O1197" s="88" t="s">
        <v>289</v>
      </c>
    </row>
    <row r="1198" spans="9:15" ht="12.75">
      <c r="I1198" s="340" t="s">
        <v>2233</v>
      </c>
      <c r="J1198" s="66"/>
      <c r="K1198" s="32"/>
      <c r="L1198" s="427"/>
      <c r="M1198" s="32">
        <v>12.9</v>
      </c>
      <c r="N1198" s="33"/>
      <c r="O1198" s="88" t="s">
        <v>2802</v>
      </c>
    </row>
    <row r="1199" spans="9:15" ht="12.75">
      <c r="I1199" s="340"/>
      <c r="J1199" s="66"/>
      <c r="K1199" s="32"/>
      <c r="L1199" s="427"/>
      <c r="M1199" s="32"/>
      <c r="N1199" s="33"/>
      <c r="O1199" s="88"/>
    </row>
    <row r="1200" spans="9:15" ht="15.75">
      <c r="I1200" s="52" t="s">
        <v>1359</v>
      </c>
      <c r="J1200" s="66"/>
      <c r="K1200" s="32"/>
      <c r="L1200" s="427"/>
      <c r="M1200" s="32"/>
      <c r="N1200" s="33"/>
      <c r="O1200" s="88"/>
    </row>
    <row r="1201" spans="2:15" ht="12.75">
      <c r="B1201" s="195">
        <v>0.4</v>
      </c>
      <c r="C1201" s="195">
        <v>6</v>
      </c>
      <c r="D1201" s="195">
        <v>20</v>
      </c>
      <c r="F1201" s="198">
        <v>849</v>
      </c>
      <c r="G1201" s="195">
        <f>B1201/F1201*1000</f>
        <v>0.47114252061248535</v>
      </c>
      <c r="H1201" s="1212">
        <f>M1205/F1201*100000</f>
        <v>0</v>
      </c>
      <c r="I1201" s="340" t="s">
        <v>2300</v>
      </c>
      <c r="J1201" s="66"/>
      <c r="K1201" s="32">
        <v>2.87</v>
      </c>
      <c r="L1201" s="427">
        <v>200</v>
      </c>
      <c r="M1201" s="32">
        <f>K1201/L1201*1000</f>
        <v>14.35</v>
      </c>
      <c r="N1201" s="33"/>
      <c r="O1201" s="88" t="s">
        <v>1400</v>
      </c>
    </row>
    <row r="1202" spans="9:15" ht="12.75">
      <c r="I1202" s="340"/>
      <c r="J1202" s="66"/>
      <c r="K1202" s="32"/>
      <c r="L1202" s="427"/>
      <c r="M1202" s="32"/>
      <c r="N1202" s="33"/>
      <c r="O1202" s="88"/>
    </row>
    <row r="1203" spans="9:15" ht="12.75">
      <c r="I1203" s="340"/>
      <c r="J1203" s="66"/>
      <c r="K1203" s="32"/>
      <c r="L1203" s="427"/>
      <c r="M1203" s="32"/>
      <c r="N1203" s="33"/>
      <c r="O1203" s="88"/>
    </row>
    <row r="1204" spans="9:15" ht="12.75">
      <c r="I1204" s="306"/>
      <c r="J1204" s="66"/>
      <c r="K1204" s="95"/>
      <c r="L1204" s="134"/>
      <c r="M1204" s="95"/>
      <c r="N1204" s="33"/>
      <c r="O1204" s="88"/>
    </row>
    <row r="1205" spans="9:13" ht="15.75">
      <c r="I1205" s="52" t="s">
        <v>2895</v>
      </c>
      <c r="J1205" s="61"/>
      <c r="K1205" s="32"/>
      <c r="L1205" s="33"/>
      <c r="M1205" s="32"/>
    </row>
    <row r="1206" spans="9:15" ht="12.75">
      <c r="I1206" s="31" t="s">
        <v>770</v>
      </c>
      <c r="J1206" s="66"/>
      <c r="K1206" s="32">
        <v>3.7</v>
      </c>
      <c r="L1206" s="33">
        <v>300</v>
      </c>
      <c r="M1206" s="32">
        <f>K1206/L1206*1000</f>
        <v>12.333333333333334</v>
      </c>
      <c r="O1206" s="24" t="s">
        <v>2510</v>
      </c>
    </row>
    <row r="1207" spans="2:15" ht="12.75">
      <c r="B1207" s="318" t="s">
        <v>3035</v>
      </c>
      <c r="C1207" s="318" t="s">
        <v>2833</v>
      </c>
      <c r="D1207" s="318" t="s">
        <v>2833</v>
      </c>
      <c r="E1207" s="744"/>
      <c r="F1207" s="323" t="s">
        <v>2833</v>
      </c>
      <c r="G1207" s="195" t="s">
        <v>474</v>
      </c>
      <c r="I1207" s="31" t="s">
        <v>2711</v>
      </c>
      <c r="J1207" s="66"/>
      <c r="K1207" s="32">
        <v>1.99</v>
      </c>
      <c r="L1207" s="33">
        <v>200</v>
      </c>
      <c r="M1207" s="32">
        <f>K1207/L1207*1000</f>
        <v>9.950000000000001</v>
      </c>
      <c r="N1207" s="94"/>
      <c r="O1207" s="24" t="s">
        <v>2570</v>
      </c>
    </row>
    <row r="1208" spans="2:15" ht="12.75">
      <c r="B1208" s="318" t="s">
        <v>3035</v>
      </c>
      <c r="C1208" s="318" t="s">
        <v>2833</v>
      </c>
      <c r="D1208" s="318" t="s">
        <v>2833</v>
      </c>
      <c r="E1208" s="744"/>
      <c r="F1208" s="323" t="s">
        <v>2833</v>
      </c>
      <c r="G1208" s="195" t="s">
        <v>474</v>
      </c>
      <c r="I1208" s="37" t="s">
        <v>2952</v>
      </c>
      <c r="J1208" s="66"/>
      <c r="K1208" s="32">
        <v>2.39</v>
      </c>
      <c r="L1208" s="33">
        <v>200</v>
      </c>
      <c r="M1208" s="32">
        <f>K1208/L1208*1000</f>
        <v>11.950000000000001</v>
      </c>
      <c r="N1208" s="94"/>
      <c r="O1208" s="24" t="s">
        <v>1246</v>
      </c>
    </row>
    <row r="1209" spans="2:15" ht="12.75">
      <c r="B1209" s="195">
        <v>6</v>
      </c>
      <c r="C1209" s="195">
        <v>7</v>
      </c>
      <c r="D1209" s="195">
        <v>68</v>
      </c>
      <c r="F1209" s="198">
        <v>2775</v>
      </c>
      <c r="G1209" s="195">
        <f>B1209/F1209*1000</f>
        <v>2.1621621621621623</v>
      </c>
      <c r="I1209" s="264" t="s">
        <v>2006</v>
      </c>
      <c r="J1209" s="55"/>
      <c r="K1209" s="16">
        <v>0.99</v>
      </c>
      <c r="L1209" s="7">
        <v>200</v>
      </c>
      <c r="M1209" s="16">
        <f>K1209/L1209*1000</f>
        <v>4.949999999999999</v>
      </c>
      <c r="N1209" s="131"/>
      <c r="O1209" s="24" t="s">
        <v>644</v>
      </c>
    </row>
    <row r="1210" spans="2:15" ht="12.75">
      <c r="B1210" s="195">
        <v>6</v>
      </c>
      <c r="C1210" s="195">
        <v>7</v>
      </c>
      <c r="D1210" s="195">
        <v>68.8</v>
      </c>
      <c r="F1210" s="198">
        <v>2760</v>
      </c>
      <c r="G1210" s="195">
        <f>B1210/F1210*1000</f>
        <v>2.1739130434782608</v>
      </c>
      <c r="I1210" s="6" t="s">
        <v>2734</v>
      </c>
      <c r="J1210" s="55"/>
      <c r="K1210" s="16">
        <v>0.8</v>
      </c>
      <c r="L1210" s="7">
        <v>200</v>
      </c>
      <c r="M1210" s="16">
        <f>K1210/L1210*1000</f>
        <v>4</v>
      </c>
      <c r="N1210" s="131"/>
      <c r="O1210" s="24" t="s">
        <v>2646</v>
      </c>
    </row>
    <row r="1211" spans="9:14" ht="12.75">
      <c r="I1211" s="6"/>
      <c r="J1211" s="55"/>
      <c r="K1211" s="16"/>
      <c r="L1211" s="7"/>
      <c r="M1211" s="16"/>
      <c r="N1211" s="131"/>
    </row>
    <row r="1212" spans="16:18" ht="12.75">
      <c r="P1212" s="6"/>
      <c r="Q1212" s="7"/>
      <c r="R1212" s="7"/>
    </row>
    <row r="1213" spans="9:16" ht="15.75">
      <c r="I1213" s="52" t="s">
        <v>1277</v>
      </c>
      <c r="J1213" s="151"/>
      <c r="P1213" s="1"/>
    </row>
    <row r="1214" spans="1:16" ht="12.75">
      <c r="A1214" s="1017"/>
      <c r="I1214" s="277" t="s">
        <v>2678</v>
      </c>
      <c r="J1214" s="156"/>
      <c r="K1214" s="156">
        <v>0.99</v>
      </c>
      <c r="L1214" s="20">
        <v>500</v>
      </c>
      <c r="M1214" s="57">
        <f aca="true" t="shared" si="91" ref="M1214:M1221">K1214/L1214*1000</f>
        <v>1.98</v>
      </c>
      <c r="O1214" s="716" t="s">
        <v>637</v>
      </c>
      <c r="P1214" s="1"/>
    </row>
    <row r="1215" spans="1:16" ht="12.75">
      <c r="A1215" s="1017"/>
      <c r="I1215" s="15" t="s">
        <v>2531</v>
      </c>
      <c r="J1215" s="55"/>
      <c r="K1215" s="55">
        <v>1.29</v>
      </c>
      <c r="L1215" s="7">
        <v>500</v>
      </c>
      <c r="M1215" s="129">
        <f t="shared" si="91"/>
        <v>2.58</v>
      </c>
      <c r="O1215" s="448" t="s">
        <v>1769</v>
      </c>
      <c r="P1215" s="1"/>
    </row>
    <row r="1216" spans="1:16" ht="12.75">
      <c r="A1216" s="1017"/>
      <c r="I1216" s="86" t="s">
        <v>2530</v>
      </c>
      <c r="J1216" s="55"/>
      <c r="K1216" s="55">
        <v>1.49</v>
      </c>
      <c r="L1216" s="7">
        <v>225</v>
      </c>
      <c r="M1216" s="25">
        <f t="shared" si="91"/>
        <v>6.622222222222222</v>
      </c>
      <c r="O1216" s="448" t="s">
        <v>1769</v>
      </c>
      <c r="P1216" s="1"/>
    </row>
    <row r="1217" spans="1:16" ht="12.75">
      <c r="A1217" s="1017"/>
      <c r="I1217" s="97" t="s">
        <v>1248</v>
      </c>
      <c r="J1217" s="61"/>
      <c r="K1217" s="276">
        <v>1.39</v>
      </c>
      <c r="L1217" s="42">
        <v>250</v>
      </c>
      <c r="M1217" s="41">
        <f t="shared" si="91"/>
        <v>5.56</v>
      </c>
      <c r="O1217" s="448" t="s">
        <v>62</v>
      </c>
      <c r="P1217" s="1"/>
    </row>
    <row r="1218" spans="1:16" ht="12.75">
      <c r="A1218" s="1017"/>
      <c r="I1218" s="97" t="s">
        <v>74</v>
      </c>
      <c r="J1218" s="61"/>
      <c r="K1218" s="276">
        <v>1.89</v>
      </c>
      <c r="L1218" s="42">
        <v>250</v>
      </c>
      <c r="M1218" s="41">
        <f>K1218/L1218*1000</f>
        <v>7.56</v>
      </c>
      <c r="O1218" s="125" t="s">
        <v>3144</v>
      </c>
      <c r="P1218" s="1"/>
    </row>
    <row r="1219" spans="1:16" ht="12.75">
      <c r="A1219" s="1017"/>
      <c r="I1219" s="1495" t="s">
        <v>74</v>
      </c>
      <c r="J1219" s="1496"/>
      <c r="K1219" s="1497">
        <v>1.79</v>
      </c>
      <c r="L1219" s="1498">
        <v>250</v>
      </c>
      <c r="M1219" s="1499">
        <f>K1219/L1219*1000</f>
        <v>7.16</v>
      </c>
      <c r="O1219" s="448" t="s">
        <v>3131</v>
      </c>
      <c r="P1219" s="1"/>
    </row>
    <row r="1220" spans="1:16" ht="12.75">
      <c r="A1220" s="1017"/>
      <c r="I1220" s="71" t="s">
        <v>74</v>
      </c>
      <c r="J1220" s="96"/>
      <c r="K1220" s="116">
        <v>1.49</v>
      </c>
      <c r="L1220" s="30">
        <v>250</v>
      </c>
      <c r="M1220" s="29">
        <f t="shared" si="91"/>
        <v>5.96</v>
      </c>
      <c r="O1220" s="448" t="s">
        <v>1424</v>
      </c>
      <c r="P1220" s="1"/>
    </row>
    <row r="1221" spans="1:16" ht="12.75">
      <c r="A1221" s="1017"/>
      <c r="I1221" s="71" t="s">
        <v>74</v>
      </c>
      <c r="J1221" s="96"/>
      <c r="K1221" s="116">
        <v>1.39</v>
      </c>
      <c r="L1221" s="30">
        <v>250</v>
      </c>
      <c r="M1221" s="29">
        <f t="shared" si="91"/>
        <v>5.56</v>
      </c>
      <c r="O1221" s="448" t="s">
        <v>62</v>
      </c>
      <c r="P1221" s="1"/>
    </row>
    <row r="1222" spans="13:16" ht="12.75">
      <c r="M1222" s="5"/>
      <c r="O1222" s="51"/>
      <c r="P1222" s="7"/>
    </row>
    <row r="1223" spans="9:13" ht="15.75">
      <c r="I1223" s="91" t="s">
        <v>1394</v>
      </c>
      <c r="J1223" s="151"/>
      <c r="M1223" s="5"/>
    </row>
    <row r="1224" spans="1:15" s="470" customFormat="1" ht="12.75">
      <c r="A1224" s="471"/>
      <c r="B1224" s="441"/>
      <c r="C1224" s="441"/>
      <c r="D1224" s="441"/>
      <c r="E1224" s="748"/>
      <c r="F1224" s="442"/>
      <c r="G1224" s="195"/>
      <c r="H1224" s="1212"/>
      <c r="I1224" s="6" t="s">
        <v>2092</v>
      </c>
      <c r="J1224" s="55"/>
      <c r="K1224" s="16">
        <v>0.55</v>
      </c>
      <c r="L1224" s="7">
        <v>500</v>
      </c>
      <c r="M1224" s="16">
        <f aca="true" t="shared" si="92" ref="M1224:M1229">K1224/L1224*1000</f>
        <v>1.1</v>
      </c>
      <c r="O1224" s="716" t="s">
        <v>2455</v>
      </c>
    </row>
    <row r="1225" spans="1:15" s="470" customFormat="1" ht="12.75">
      <c r="A1225" s="471"/>
      <c r="B1225" s="441">
        <v>13.5</v>
      </c>
      <c r="C1225" s="441">
        <v>58.7</v>
      </c>
      <c r="D1225" s="441">
        <v>7</v>
      </c>
      <c r="E1225" s="748"/>
      <c r="F1225" s="442">
        <v>1566</v>
      </c>
      <c r="G1225" s="195">
        <f>B1225/F1225*1000</f>
        <v>8.620689655172413</v>
      </c>
      <c r="H1225" s="1212">
        <f>M1225/F1225*100000</f>
        <v>70.24265644955301</v>
      </c>
      <c r="I1225" s="6" t="s">
        <v>100</v>
      </c>
      <c r="J1225" s="55"/>
      <c r="K1225" s="16">
        <v>0.55</v>
      </c>
      <c r="L1225" s="7">
        <v>500</v>
      </c>
      <c r="M1225" s="16">
        <f t="shared" si="92"/>
        <v>1.1</v>
      </c>
      <c r="O1225" s="448" t="s">
        <v>2168</v>
      </c>
    </row>
    <row r="1226" spans="1:15" s="470" customFormat="1" ht="12.75">
      <c r="A1226" s="471"/>
      <c r="B1226" s="441"/>
      <c r="C1226" s="441"/>
      <c r="D1226" s="441"/>
      <c r="E1226" s="748"/>
      <c r="F1226" s="442"/>
      <c r="G1226" s="195"/>
      <c r="H1226" s="1212"/>
      <c r="I1226" s="37" t="s">
        <v>101</v>
      </c>
      <c r="J1226" s="61"/>
      <c r="K1226" s="41">
        <v>0.99</v>
      </c>
      <c r="L1226" s="42">
        <v>400</v>
      </c>
      <c r="M1226" s="41">
        <f t="shared" si="92"/>
        <v>2.4749999999999996</v>
      </c>
      <c r="O1226" s="716" t="s">
        <v>2455</v>
      </c>
    </row>
    <row r="1227" spans="2:15" ht="12.75">
      <c r="B1227" s="195">
        <v>13</v>
      </c>
      <c r="C1227" s="195">
        <v>58.7</v>
      </c>
      <c r="D1227" s="195">
        <v>7</v>
      </c>
      <c r="F1227" s="198">
        <v>1558</v>
      </c>
      <c r="G1227" s="195">
        <f>B1227/F1227*1000</f>
        <v>8.34403080872914</v>
      </c>
      <c r="H1227" s="1212">
        <f>M1227/F1227*100000</f>
        <v>152.75994865211808</v>
      </c>
      <c r="I1227" s="59" t="s">
        <v>110</v>
      </c>
      <c r="J1227" s="61"/>
      <c r="K1227" s="41">
        <v>1.19</v>
      </c>
      <c r="L1227" s="42">
        <v>500</v>
      </c>
      <c r="M1227" s="58">
        <f t="shared" si="92"/>
        <v>2.38</v>
      </c>
      <c r="N1227" s="440"/>
      <c r="O1227" s="448" t="s">
        <v>2768</v>
      </c>
    </row>
    <row r="1228" spans="2:15" ht="12.75">
      <c r="B1228" s="195">
        <v>13</v>
      </c>
      <c r="C1228" s="195">
        <v>58.7</v>
      </c>
      <c r="D1228" s="195">
        <v>7</v>
      </c>
      <c r="F1228" s="198">
        <v>1558</v>
      </c>
      <c r="G1228" s="195">
        <f>B1228/F1228*1000</f>
        <v>8.34403080872914</v>
      </c>
      <c r="I1228" s="71" t="s">
        <v>807</v>
      </c>
      <c r="J1228" s="96"/>
      <c r="K1228" s="29">
        <v>1.29</v>
      </c>
      <c r="L1228" s="30">
        <v>500</v>
      </c>
      <c r="M1228" s="116">
        <f t="shared" si="92"/>
        <v>2.58</v>
      </c>
      <c r="N1228" s="440"/>
      <c r="O1228" s="448" t="s">
        <v>2337</v>
      </c>
    </row>
    <row r="1229" spans="2:15" ht="12.75">
      <c r="B1229" s="195">
        <v>13</v>
      </c>
      <c r="C1229" s="195">
        <v>58.7</v>
      </c>
      <c r="D1229" s="195">
        <v>7</v>
      </c>
      <c r="F1229" s="198">
        <v>1558</v>
      </c>
      <c r="G1229" s="195">
        <f>B1229/F1229*1000</f>
        <v>8.34403080872914</v>
      </c>
      <c r="I1229" s="71" t="s">
        <v>494</v>
      </c>
      <c r="J1229" s="96"/>
      <c r="K1229" s="29">
        <v>1.19</v>
      </c>
      <c r="L1229" s="30">
        <v>500</v>
      </c>
      <c r="M1229" s="116">
        <f t="shared" si="92"/>
        <v>2.38</v>
      </c>
      <c r="N1229" s="440"/>
      <c r="O1229" s="448" t="s">
        <v>433</v>
      </c>
    </row>
    <row r="1230" spans="9:15" ht="12.75">
      <c r="I1230" s="86" t="s">
        <v>1221</v>
      </c>
      <c r="J1230" s="61"/>
      <c r="K1230" s="41"/>
      <c r="L1230" s="42"/>
      <c r="M1230" s="490">
        <v>5.8</v>
      </c>
      <c r="N1230" s="440"/>
      <c r="O1230" s="716" t="s">
        <v>2451</v>
      </c>
    </row>
    <row r="1231" spans="9:15" ht="12.75">
      <c r="I1231" s="71" t="s">
        <v>1222</v>
      </c>
      <c r="J1231" s="96"/>
      <c r="K1231" s="29"/>
      <c r="L1231" s="30"/>
      <c r="M1231" s="116">
        <v>2.87</v>
      </c>
      <c r="N1231" s="440"/>
      <c r="O1231" s="716" t="s">
        <v>36</v>
      </c>
    </row>
    <row r="1232" spans="9:15" ht="14.25">
      <c r="I1232" s="40" t="s">
        <v>2020</v>
      </c>
      <c r="J1232" s="61">
        <v>3.89</v>
      </c>
      <c r="K1232" s="41">
        <f>J1232*0.98</f>
        <v>3.8122000000000003</v>
      </c>
      <c r="L1232" s="42">
        <v>1000</v>
      </c>
      <c r="M1232" s="41">
        <f aca="true" t="shared" si="93" ref="M1232:M1237">K1232/L1232*1000</f>
        <v>3.8122000000000003</v>
      </c>
      <c r="N1232" s="440"/>
      <c r="O1232" s="716" t="s">
        <v>337</v>
      </c>
    </row>
    <row r="1233" spans="9:15" ht="12.75">
      <c r="I1233" s="40" t="s">
        <v>2870</v>
      </c>
      <c r="J1233" s="61"/>
      <c r="K1233" s="41">
        <v>1.59</v>
      </c>
      <c r="L1233" s="42">
        <v>500</v>
      </c>
      <c r="M1233" s="41">
        <f t="shared" si="93"/>
        <v>3.18</v>
      </c>
      <c r="N1233" s="440"/>
      <c r="O1233" s="716" t="s">
        <v>36</v>
      </c>
    </row>
    <row r="1234" spans="9:15" ht="13.5" thickBot="1">
      <c r="I1234" s="40" t="s">
        <v>2045</v>
      </c>
      <c r="J1234" s="61"/>
      <c r="K1234" s="41">
        <v>1.59</v>
      </c>
      <c r="L1234" s="42">
        <v>500</v>
      </c>
      <c r="M1234" s="41">
        <f t="shared" si="93"/>
        <v>3.18</v>
      </c>
      <c r="N1234" s="440"/>
      <c r="O1234" s="716" t="s">
        <v>36</v>
      </c>
    </row>
    <row r="1235" spans="9:15" ht="14.25">
      <c r="I1235" s="399" t="s">
        <v>2595</v>
      </c>
      <c r="J1235" s="320"/>
      <c r="K1235" s="321">
        <v>1.99</v>
      </c>
      <c r="L1235" s="766">
        <v>375</v>
      </c>
      <c r="M1235" s="321">
        <f t="shared" si="93"/>
        <v>5.306666666666667</v>
      </c>
      <c r="O1235" s="716" t="s">
        <v>36</v>
      </c>
    </row>
    <row r="1236" spans="2:15" ht="15" thickBot="1">
      <c r="B1236" s="195">
        <v>12.5</v>
      </c>
      <c r="C1236" s="195">
        <v>58.7</v>
      </c>
      <c r="D1236" s="195">
        <v>7</v>
      </c>
      <c r="F1236" s="198">
        <v>1469</v>
      </c>
      <c r="G1236" s="195">
        <f>B1236/F1236*1000</f>
        <v>8.509189925119129</v>
      </c>
      <c r="I1236" s="313" t="s">
        <v>2044</v>
      </c>
      <c r="J1236" s="439" t="s">
        <v>1797</v>
      </c>
      <c r="K1236" s="314">
        <v>1.99</v>
      </c>
      <c r="L1236" s="767">
        <v>500</v>
      </c>
      <c r="M1236" s="314">
        <f t="shared" si="93"/>
        <v>3.98</v>
      </c>
      <c r="O1236" s="24" t="s">
        <v>942</v>
      </c>
    </row>
    <row r="1237" spans="9:15" ht="12.75">
      <c r="I1237" s="2" t="s">
        <v>2907</v>
      </c>
      <c r="K1237" s="5">
        <v>1.59</v>
      </c>
      <c r="L1237">
        <v>500</v>
      </c>
      <c r="M1237" s="58">
        <f t="shared" si="93"/>
        <v>3.18</v>
      </c>
      <c r="O1237" s="24" t="s">
        <v>942</v>
      </c>
    </row>
    <row r="1238" spans="9:15" ht="12.75">
      <c r="I1238" s="71" t="s">
        <v>1884</v>
      </c>
      <c r="J1238" s="96"/>
      <c r="K1238" s="29"/>
      <c r="L1238" s="30"/>
      <c r="M1238" s="29">
        <v>1.9</v>
      </c>
      <c r="O1238" s="24" t="s">
        <v>1020</v>
      </c>
    </row>
    <row r="1239" spans="9:15" ht="12.75">
      <c r="I1239" s="28" t="s">
        <v>1751</v>
      </c>
      <c r="J1239" s="96"/>
      <c r="K1239" s="29">
        <v>3.85</v>
      </c>
      <c r="L1239" s="30">
        <v>1000</v>
      </c>
      <c r="M1239" s="29">
        <f>K1239/L1239*1000</f>
        <v>3.85</v>
      </c>
      <c r="O1239" s="24" t="s">
        <v>2625</v>
      </c>
    </row>
    <row r="1240" spans="9:15" ht="12.75">
      <c r="I1240" s="97" t="s">
        <v>3090</v>
      </c>
      <c r="J1240" s="61">
        <v>1.59</v>
      </c>
      <c r="K1240" s="29">
        <f>J1240*0.97</f>
        <v>1.5423</v>
      </c>
      <c r="L1240" s="30">
        <v>500</v>
      </c>
      <c r="M1240" s="29">
        <f>K1240/L1240*1000</f>
        <v>3.0846</v>
      </c>
      <c r="N1240" s="440" t="s">
        <v>1797</v>
      </c>
      <c r="O1240" s="24" t="s">
        <v>1531</v>
      </c>
    </row>
    <row r="1241" spans="9:15" ht="12.75">
      <c r="I1241" s="71" t="s">
        <v>482</v>
      </c>
      <c r="J1241" s="96"/>
      <c r="K1241" s="29">
        <v>1.39</v>
      </c>
      <c r="L1241" s="30">
        <v>500</v>
      </c>
      <c r="M1241" s="29">
        <f>K1241/L1241*1000</f>
        <v>2.78</v>
      </c>
      <c r="O1241" s="24" t="s">
        <v>2237</v>
      </c>
    </row>
    <row r="1242" spans="9:13" ht="12.75">
      <c r="I1242" s="2"/>
      <c r="M1242" s="5"/>
    </row>
    <row r="1243" spans="9:13" ht="15.75">
      <c r="I1243" s="52" t="s">
        <v>2747</v>
      </c>
      <c r="M1243" s="5"/>
    </row>
    <row r="1244" spans="9:16" ht="12.75">
      <c r="I1244" s="109" t="s">
        <v>2781</v>
      </c>
      <c r="J1244" s="120"/>
      <c r="K1244" s="22">
        <v>1.45</v>
      </c>
      <c r="L1244" s="23">
        <v>750</v>
      </c>
      <c r="M1244" s="774">
        <f aca="true" t="shared" si="94" ref="M1244:M1249">K1244/L1244*1000</f>
        <v>1.9333333333333333</v>
      </c>
      <c r="N1244" s="327" t="s">
        <v>2697</v>
      </c>
      <c r="O1244" s="448" t="s">
        <v>2168</v>
      </c>
      <c r="P1244" s="607" t="s">
        <v>638</v>
      </c>
    </row>
    <row r="1245" spans="9:15" ht="12.75">
      <c r="I1245" s="60" t="s">
        <v>2781</v>
      </c>
      <c r="K1245" s="5">
        <v>2.19</v>
      </c>
      <c r="L1245" s="42">
        <v>750</v>
      </c>
      <c r="M1245" s="276">
        <f t="shared" si="94"/>
        <v>2.92</v>
      </c>
      <c r="O1245" s="716" t="s">
        <v>2168</v>
      </c>
    </row>
    <row r="1246" spans="9:15" ht="12.75">
      <c r="I1246" s="37" t="s">
        <v>1946</v>
      </c>
      <c r="K1246" s="5">
        <v>2.79</v>
      </c>
      <c r="L1246" s="42">
        <v>750</v>
      </c>
      <c r="M1246" s="276">
        <f t="shared" si="94"/>
        <v>3.72</v>
      </c>
      <c r="O1246" s="716" t="s">
        <v>637</v>
      </c>
    </row>
    <row r="1247" spans="9:15" ht="12.75">
      <c r="I1247" s="43" t="s">
        <v>2780</v>
      </c>
      <c r="K1247" s="5">
        <v>2.59</v>
      </c>
      <c r="L1247" s="42">
        <v>750</v>
      </c>
      <c r="M1247" s="276">
        <f t="shared" si="94"/>
        <v>3.453333333333333</v>
      </c>
      <c r="O1247" s="716" t="s">
        <v>637</v>
      </c>
    </row>
    <row r="1248" spans="9:15" ht="12.75">
      <c r="I1248" s="59" t="s">
        <v>1995</v>
      </c>
      <c r="J1248" s="157">
        <v>2.59</v>
      </c>
      <c r="K1248" s="103">
        <f>J1248*0.9</f>
        <v>2.331</v>
      </c>
      <c r="L1248" s="104">
        <v>750</v>
      </c>
      <c r="M1248" s="103">
        <f t="shared" si="94"/>
        <v>3.108</v>
      </c>
      <c r="N1248" s="1307" t="s">
        <v>1398</v>
      </c>
      <c r="O1248" s="716" t="s">
        <v>458</v>
      </c>
    </row>
    <row r="1249" spans="9:15" ht="12.75">
      <c r="I1249" s="2" t="s">
        <v>1995</v>
      </c>
      <c r="J1249" s="66">
        <v>2.59</v>
      </c>
      <c r="K1249" s="32">
        <f>J1249*0.97</f>
        <v>2.5122999999999998</v>
      </c>
      <c r="L1249" s="33">
        <v>750</v>
      </c>
      <c r="M1249" s="58">
        <f t="shared" si="94"/>
        <v>3.349733333333333</v>
      </c>
      <c r="O1249" s="448" t="s">
        <v>2877</v>
      </c>
    </row>
    <row r="1250" spans="2:15" ht="12.75">
      <c r="B1250" s="195">
        <v>10.4</v>
      </c>
      <c r="C1250" s="195">
        <v>55.9</v>
      </c>
      <c r="D1250" s="195">
        <v>9.1</v>
      </c>
      <c r="F1250" s="198">
        <v>1575</v>
      </c>
      <c r="G1250" s="195">
        <f>B1250/F1250*1000</f>
        <v>6.603174603174603</v>
      </c>
      <c r="I1250" s="40" t="s">
        <v>2687</v>
      </c>
      <c r="J1250" s="66"/>
      <c r="K1250" s="32"/>
      <c r="L1250" s="33"/>
      <c r="M1250" s="32">
        <v>3.65</v>
      </c>
      <c r="O1250" s="448" t="s">
        <v>2127</v>
      </c>
    </row>
    <row r="1251" spans="9:15" ht="12.75">
      <c r="I1251" s="37" t="s">
        <v>2654</v>
      </c>
      <c r="M1251" s="5">
        <v>5.5</v>
      </c>
      <c r="O1251" s="716" t="s">
        <v>2127</v>
      </c>
    </row>
    <row r="1252" spans="9:15" ht="12.75">
      <c r="I1252" s="59" t="s">
        <v>1544</v>
      </c>
      <c r="M1252" s="103">
        <f>2.59*0.75*0.9</f>
        <v>1.7482499999999999</v>
      </c>
      <c r="N1252" s="108" t="s">
        <v>905</v>
      </c>
      <c r="O1252" s="24" t="s">
        <v>2575</v>
      </c>
    </row>
    <row r="1253" spans="9:15" ht="12.75">
      <c r="I1253" s="2" t="s">
        <v>1544</v>
      </c>
      <c r="M1253" s="62">
        <v>2.59</v>
      </c>
      <c r="O1253" s="716" t="s">
        <v>2575</v>
      </c>
    </row>
    <row r="1254" spans="9:13" ht="12.75">
      <c r="I1254" s="2"/>
      <c r="M1254" s="5"/>
    </row>
    <row r="1255" spans="9:13" ht="15.75">
      <c r="I1255" s="52" t="s">
        <v>3159</v>
      </c>
      <c r="M1255" s="5"/>
    </row>
    <row r="1256" spans="9:15" ht="12.75">
      <c r="I1256" s="2" t="s">
        <v>3160</v>
      </c>
      <c r="J1256" s="32"/>
      <c r="K1256" s="32">
        <v>1.45</v>
      </c>
      <c r="L1256" s="33">
        <v>300</v>
      </c>
      <c r="M1256" s="58">
        <f>K1256/L1256*1000</f>
        <v>4.833333333333334</v>
      </c>
      <c r="N1256" s="132"/>
      <c r="O1256" s="448" t="s">
        <v>3154</v>
      </c>
    </row>
    <row r="1257" spans="9:13" ht="12.75">
      <c r="I1257" s="2"/>
      <c r="M1257" s="5"/>
    </row>
    <row r="1258" spans="9:13" ht="15.75">
      <c r="I1258" s="2" t="s">
        <v>204</v>
      </c>
      <c r="M1258" s="5"/>
    </row>
    <row r="1259" spans="9:15" ht="12.75">
      <c r="I1259" s="28" t="s">
        <v>1658</v>
      </c>
      <c r="J1259" s="29">
        <v>5.69</v>
      </c>
      <c r="K1259" s="29">
        <f>J1259*0.9</f>
        <v>5.121</v>
      </c>
      <c r="L1259" s="30">
        <v>750</v>
      </c>
      <c r="M1259" s="29">
        <f>K1259/L1259*1000</f>
        <v>6.828000000000001</v>
      </c>
      <c r="N1259" s="132" t="s">
        <v>1398</v>
      </c>
      <c r="O1259" s="448" t="s">
        <v>458</v>
      </c>
    </row>
    <row r="1260" spans="9:15" ht="12.75">
      <c r="I1260" s="71" t="s">
        <v>1658</v>
      </c>
      <c r="J1260" s="29">
        <v>5.69</v>
      </c>
      <c r="K1260" s="29">
        <f>J1260*0.97</f>
        <v>5.5193</v>
      </c>
      <c r="L1260" s="30">
        <v>750</v>
      </c>
      <c r="M1260" s="29">
        <f>K1260/L1260*1000</f>
        <v>7.359066666666667</v>
      </c>
      <c r="N1260" s="30"/>
      <c r="O1260" s="448" t="s">
        <v>2455</v>
      </c>
    </row>
    <row r="1261" spans="9:15" ht="12.75">
      <c r="I1261" s="71" t="s">
        <v>1658</v>
      </c>
      <c r="J1261" s="96"/>
      <c r="K1261" s="29">
        <v>5.49</v>
      </c>
      <c r="L1261" s="30">
        <v>750</v>
      </c>
      <c r="M1261" s="29">
        <f>K1261/L1261*1000</f>
        <v>7.32</v>
      </c>
      <c r="N1261" s="30"/>
      <c r="O1261" s="448" t="s">
        <v>433</v>
      </c>
    </row>
    <row r="1262" spans="9:15" ht="12.75">
      <c r="I1262" s="28" t="s">
        <v>2477</v>
      </c>
      <c r="J1262" s="96">
        <v>1.99</v>
      </c>
      <c r="K1262" s="29">
        <f>J1262*0.97</f>
        <v>1.9303</v>
      </c>
      <c r="L1262" s="30">
        <v>250</v>
      </c>
      <c r="M1262" s="29">
        <f>K1262/L1262*1000</f>
        <v>7.7212</v>
      </c>
      <c r="N1262" s="30"/>
      <c r="O1262" s="716" t="s">
        <v>1607</v>
      </c>
    </row>
    <row r="1263" spans="9:15" ht="12.75">
      <c r="I1263" s="71" t="s">
        <v>1049</v>
      </c>
      <c r="J1263" s="96">
        <v>6.79</v>
      </c>
      <c r="K1263" s="29">
        <f>J1263*0.97</f>
        <v>6.5863</v>
      </c>
      <c r="L1263" s="30">
        <v>1000</v>
      </c>
      <c r="M1263" s="29">
        <f>K1263/L1263*1000</f>
        <v>6.5863</v>
      </c>
      <c r="N1263" s="30"/>
      <c r="O1263" s="448" t="s">
        <v>2463</v>
      </c>
    </row>
    <row r="1264" spans="9:15" ht="12.75">
      <c r="I1264" s="37" t="s">
        <v>172</v>
      </c>
      <c r="J1264" s="5"/>
      <c r="K1264" s="41"/>
      <c r="M1264" s="395">
        <v>5.33</v>
      </c>
      <c r="O1264" s="716" t="s">
        <v>2451</v>
      </c>
    </row>
    <row r="1265" spans="9:13" ht="12.75">
      <c r="I1265" s="2"/>
      <c r="M1265" s="5"/>
    </row>
    <row r="1266" ht="12.75">
      <c r="M1266" s="5"/>
    </row>
    <row r="1267" spans="9:13" ht="15.75">
      <c r="I1267" s="52" t="s">
        <v>2088</v>
      </c>
      <c r="M1267" s="5"/>
    </row>
    <row r="1268" spans="9:15" ht="12.75">
      <c r="I1268" s="2" t="s">
        <v>679</v>
      </c>
      <c r="K1268" s="5">
        <v>2.39</v>
      </c>
      <c r="L1268">
        <v>500</v>
      </c>
      <c r="M1268" s="5">
        <f>K1268/L1268*1000</f>
        <v>4.78</v>
      </c>
      <c r="O1268" s="24" t="s">
        <v>1868</v>
      </c>
    </row>
    <row r="1269" spans="9:15" ht="14.25">
      <c r="I1269" s="2" t="s">
        <v>1684</v>
      </c>
      <c r="K1269" s="5">
        <v>2.29</v>
      </c>
      <c r="L1269">
        <v>500</v>
      </c>
      <c r="M1269" s="5">
        <f>K1269/L1269*1000</f>
        <v>4.58</v>
      </c>
      <c r="O1269" s="24" t="s">
        <v>1910</v>
      </c>
    </row>
    <row r="1270" spans="9:15" ht="14.25">
      <c r="I1270" s="71" t="s">
        <v>2605</v>
      </c>
      <c r="J1270" s="96"/>
      <c r="K1270" s="29">
        <v>1.99</v>
      </c>
      <c r="L1270" s="30">
        <v>500</v>
      </c>
      <c r="M1270" s="29">
        <f>K1270/L1270*1000</f>
        <v>3.98</v>
      </c>
      <c r="O1270" s="24" t="s">
        <v>662</v>
      </c>
    </row>
    <row r="1271" spans="9:15" ht="12.75">
      <c r="I1271" s="1" t="s">
        <v>1814</v>
      </c>
      <c r="K1271" s="5">
        <v>1.89</v>
      </c>
      <c r="L1271">
        <v>500</v>
      </c>
      <c r="M1271" s="5">
        <f>K1271/L1271*1000</f>
        <v>3.78</v>
      </c>
      <c r="O1271" s="24" t="s">
        <v>2127</v>
      </c>
    </row>
    <row r="1272" spans="2:15" ht="12.75">
      <c r="B1272" s="195">
        <v>10.4</v>
      </c>
      <c r="C1272" s="195">
        <v>71</v>
      </c>
      <c r="D1272" s="195">
        <v>1.4</v>
      </c>
      <c r="F1272" s="198">
        <v>1472</v>
      </c>
      <c r="G1272" s="195">
        <f>B1272/F1272*1000</f>
        <v>7.065217391304348</v>
      </c>
      <c r="H1272" s="1212">
        <f>M1272/F1272*100000</f>
        <v>264.945652173913</v>
      </c>
      <c r="I1272" s="673" t="s">
        <v>1802</v>
      </c>
      <c r="K1272" s="5">
        <v>1.95</v>
      </c>
      <c r="L1272">
        <v>500</v>
      </c>
      <c r="M1272" s="5">
        <f>K1272/L1272*1000</f>
        <v>3.9</v>
      </c>
      <c r="O1272" s="24" t="s">
        <v>2127</v>
      </c>
    </row>
    <row r="1273" ht="12.75">
      <c r="M1273" s="5"/>
    </row>
    <row r="1274" ht="12.75">
      <c r="M1274" s="5"/>
    </row>
    <row r="1275" spans="9:13" ht="15.75">
      <c r="I1275" s="91" t="s">
        <v>821</v>
      </c>
      <c r="M1275" s="5"/>
    </row>
    <row r="1276" spans="2:15" ht="12.75">
      <c r="B1276" s="195">
        <v>7.8</v>
      </c>
      <c r="C1276" s="195">
        <v>74</v>
      </c>
      <c r="D1276" s="195">
        <v>2.2</v>
      </c>
      <c r="F1276" s="198">
        <v>1490</v>
      </c>
      <c r="G1276" s="195">
        <f>B1276/F1276*1000</f>
        <v>5.23489932885906</v>
      </c>
      <c r="H1276" s="1212">
        <f>M1276/F1276*100000</f>
        <v>341.38702460850106</v>
      </c>
      <c r="I1276" s="97" t="s">
        <v>2892</v>
      </c>
      <c r="J1276" s="163"/>
      <c r="K1276" s="276">
        <v>15.26</v>
      </c>
      <c r="L1276" s="297">
        <v>3000</v>
      </c>
      <c r="M1276" s="5">
        <f>K1276/L1276*1000</f>
        <v>5.086666666666666</v>
      </c>
      <c r="N1276" s="108"/>
      <c r="O1276" s="24" t="s">
        <v>3121</v>
      </c>
    </row>
    <row r="1277" spans="9:15" ht="12.75">
      <c r="I1277" s="71" t="s">
        <v>2175</v>
      </c>
      <c r="J1277" s="158"/>
      <c r="K1277" s="116"/>
      <c r="L1277" s="117"/>
      <c r="M1277" s="116">
        <f>4.39*0.8</f>
        <v>3.512</v>
      </c>
      <c r="N1277" s="132" t="s">
        <v>2697</v>
      </c>
      <c r="O1277" s="54" t="s">
        <v>939</v>
      </c>
    </row>
    <row r="1278" spans="9:15" ht="12.75">
      <c r="I1278" s="71" t="s">
        <v>501</v>
      </c>
      <c r="J1278" s="96"/>
      <c r="K1278" s="29">
        <v>3.99</v>
      </c>
      <c r="L1278" s="30"/>
      <c r="M1278" s="29">
        <f>K1278*0.97</f>
        <v>3.8703000000000003</v>
      </c>
      <c r="N1278" s="30"/>
      <c r="O1278" s="54" t="s">
        <v>1223</v>
      </c>
    </row>
    <row r="1279" spans="9:15" ht="12.75">
      <c r="I1279" s="28" t="s">
        <v>203</v>
      </c>
      <c r="J1279" s="96"/>
      <c r="K1279" s="29"/>
      <c r="L1279" s="30"/>
      <c r="M1279" s="29">
        <v>2.89</v>
      </c>
      <c r="N1279" s="30"/>
      <c r="O1279" s="54" t="s">
        <v>1145</v>
      </c>
    </row>
    <row r="1280" spans="9:15" ht="12.75">
      <c r="I1280" s="28" t="s">
        <v>2175</v>
      </c>
      <c r="J1280" s="96"/>
      <c r="K1280" s="29"/>
      <c r="L1280" s="30"/>
      <c r="M1280" s="29">
        <v>3.39</v>
      </c>
      <c r="N1280" s="30"/>
      <c r="O1280" s="54" t="s">
        <v>939</v>
      </c>
    </row>
    <row r="1281" spans="9:15" ht="12.75">
      <c r="I1281" s="28" t="s">
        <v>2175</v>
      </c>
      <c r="J1281" s="96"/>
      <c r="K1281" s="29"/>
      <c r="L1281" s="30"/>
      <c r="M1281" s="29">
        <v>2.99</v>
      </c>
      <c r="N1281" s="30"/>
      <c r="O1281" s="54" t="s">
        <v>1458</v>
      </c>
    </row>
    <row r="1282" spans="9:15" ht="12.75">
      <c r="I1282" s="28" t="s">
        <v>2176</v>
      </c>
      <c r="J1282" s="96"/>
      <c r="K1282" s="29"/>
      <c r="L1282" s="30"/>
      <c r="M1282" s="29">
        <v>2.99</v>
      </c>
      <c r="N1282" s="30"/>
      <c r="O1282" s="54" t="s">
        <v>1458</v>
      </c>
    </row>
    <row r="1283" spans="9:15" ht="12.75">
      <c r="I1283" s="1033" t="s">
        <v>80</v>
      </c>
      <c r="M1283" s="5">
        <v>2.99</v>
      </c>
      <c r="O1283" s="24" t="s">
        <v>2986</v>
      </c>
    </row>
    <row r="1284" spans="2:15" ht="12.75">
      <c r="B1284" s="195">
        <v>6.5</v>
      </c>
      <c r="C1284" s="195">
        <v>79.5</v>
      </c>
      <c r="D1284" s="195">
        <v>0.5</v>
      </c>
      <c r="F1284" s="198">
        <v>1479</v>
      </c>
      <c r="G1284" s="195">
        <f>B1284/F1284*1000</f>
        <v>4.394861392832995</v>
      </c>
      <c r="H1284" s="1212">
        <f>M1284/F1284*100000</f>
        <v>151.737660581474</v>
      </c>
      <c r="I1284" s="59" t="s">
        <v>211</v>
      </c>
      <c r="J1284" s="491"/>
      <c r="M1284" s="32">
        <f>2.29*0.98</f>
        <v>2.2442</v>
      </c>
      <c r="O1284" s="24" t="s">
        <v>2670</v>
      </c>
    </row>
    <row r="1285" spans="2:15" ht="12.75">
      <c r="B1285" s="195">
        <v>7.2</v>
      </c>
      <c r="C1285" s="195">
        <v>74.1</v>
      </c>
      <c r="D1285" s="195">
        <v>2.2</v>
      </c>
      <c r="F1285" s="198">
        <v>1464</v>
      </c>
      <c r="G1285" s="195">
        <f>B1285/F1285*1000</f>
        <v>4.918032786885246</v>
      </c>
      <c r="H1285" s="1212">
        <f>M1285/F1285*100000</f>
        <v>258.879781420765</v>
      </c>
      <c r="I1285" s="97" t="s">
        <v>2910</v>
      </c>
      <c r="M1285" s="32">
        <v>3.79</v>
      </c>
      <c r="O1285" s="24" t="s">
        <v>2131</v>
      </c>
    </row>
    <row r="1286" spans="2:15" ht="12.75">
      <c r="B1286" s="195">
        <v>7.8</v>
      </c>
      <c r="C1286" s="195">
        <v>74.1</v>
      </c>
      <c r="D1286" s="195">
        <v>2.2</v>
      </c>
      <c r="F1286" s="198">
        <v>1491</v>
      </c>
      <c r="G1286" s="195">
        <f>B1286/F1286*1000</f>
        <v>5.23138832997988</v>
      </c>
      <c r="H1286" s="1212">
        <f>M1286/F1286*100000</f>
        <v>180.41582830315224</v>
      </c>
      <c r="I1286" s="59" t="s">
        <v>1741</v>
      </c>
      <c r="J1286" s="491"/>
      <c r="M1286" s="32">
        <v>2.69</v>
      </c>
      <c r="O1286" s="24" t="s">
        <v>1705</v>
      </c>
    </row>
    <row r="1287" spans="9:15" ht="12.75">
      <c r="I1287" s="71" t="s">
        <v>1741</v>
      </c>
      <c r="J1287" s="801"/>
      <c r="K1287" s="29"/>
      <c r="L1287" s="30"/>
      <c r="M1287" s="29">
        <v>2.29</v>
      </c>
      <c r="O1287" s="24" t="s">
        <v>1539</v>
      </c>
    </row>
    <row r="1288" spans="2:15" s="335" customFormat="1" ht="12.75">
      <c r="B1288" s="764"/>
      <c r="C1288" s="764"/>
      <c r="D1288" s="764"/>
      <c r="E1288" s="765"/>
      <c r="F1288" s="317"/>
      <c r="G1288" s="764"/>
      <c r="H1288" s="764"/>
      <c r="I1288" s="322" t="s">
        <v>2094</v>
      </c>
      <c r="J1288" s="320"/>
      <c r="K1288" s="321"/>
      <c r="L1288" s="447"/>
      <c r="M1288" s="321">
        <f>5.49*0.75</f>
        <v>4.1175</v>
      </c>
      <c r="O1288" s="716" t="s">
        <v>36</v>
      </c>
    </row>
    <row r="1289" spans="9:15" ht="12.75">
      <c r="I1289" s="37" t="s">
        <v>2094</v>
      </c>
      <c r="M1289" s="25">
        <v>5.49</v>
      </c>
      <c r="N1289" s="108" t="s">
        <v>2698</v>
      </c>
      <c r="O1289" s="716" t="s">
        <v>36</v>
      </c>
    </row>
    <row r="1290" spans="9:15" ht="12.75">
      <c r="I1290" s="40" t="s">
        <v>3096</v>
      </c>
      <c r="J1290" s="404"/>
      <c r="M1290" s="32">
        <v>4.67</v>
      </c>
      <c r="O1290" s="716" t="s">
        <v>36</v>
      </c>
    </row>
    <row r="1291" spans="9:15" ht="12.75">
      <c r="I1291" s="2" t="s">
        <v>1372</v>
      </c>
      <c r="J1291" s="160"/>
      <c r="K1291" s="5">
        <v>2.99</v>
      </c>
      <c r="L1291">
        <v>750</v>
      </c>
      <c r="M1291" s="32">
        <f>K1291/L1291*1000</f>
        <v>3.986666666666667</v>
      </c>
      <c r="O1291" s="24" t="s">
        <v>2213</v>
      </c>
    </row>
    <row r="1292" spans="9:15" ht="12.75">
      <c r="I1292" s="2" t="s">
        <v>1952</v>
      </c>
      <c r="K1292" s="5">
        <v>1.99</v>
      </c>
      <c r="L1292">
        <v>500</v>
      </c>
      <c r="M1292" s="32">
        <f>K1292/L1292*1000</f>
        <v>3.98</v>
      </c>
      <c r="O1292" s="24" t="s">
        <v>2213</v>
      </c>
    </row>
    <row r="1293" spans="2:15" ht="12.75">
      <c r="B1293" s="356">
        <v>7.2</v>
      </c>
      <c r="C1293" s="356">
        <v>74.1</v>
      </c>
      <c r="D1293" s="356">
        <v>2.2</v>
      </c>
      <c r="E1293" s="745"/>
      <c r="F1293" s="357">
        <v>1463</v>
      </c>
      <c r="G1293" s="356">
        <f>B1293/F1293*1000</f>
        <v>4.921394395078606</v>
      </c>
      <c r="H1293" s="356"/>
      <c r="I1293" s="432" t="s">
        <v>2649</v>
      </c>
      <c r="J1293" s="404"/>
      <c r="K1293" s="314">
        <v>2.98</v>
      </c>
      <c r="L1293" s="315">
        <v>1000</v>
      </c>
      <c r="M1293" s="314">
        <f aca="true" t="shared" si="95" ref="M1293:M1301">K1293/L1293*1000</f>
        <v>2.98</v>
      </c>
      <c r="O1293" s="24" t="s">
        <v>1304</v>
      </c>
    </row>
    <row r="1294" spans="9:15" ht="12.75">
      <c r="I1294" s="119" t="s">
        <v>2412</v>
      </c>
      <c r="J1294" s="160"/>
      <c r="K1294" s="18">
        <v>2.69</v>
      </c>
      <c r="L1294" s="19">
        <v>1000</v>
      </c>
      <c r="M1294" s="18">
        <f>K1294/L1294*1000</f>
        <v>2.69</v>
      </c>
      <c r="O1294" s="24" t="s">
        <v>1649</v>
      </c>
    </row>
    <row r="1295" spans="9:15" ht="12.75">
      <c r="I1295" s="266" t="s">
        <v>2561</v>
      </c>
      <c r="J1295" s="66"/>
      <c r="K1295" s="32">
        <v>2.69</v>
      </c>
      <c r="L1295" s="33">
        <v>1000</v>
      </c>
      <c r="M1295" s="32">
        <f>K1295/L1295*1000</f>
        <v>2.69</v>
      </c>
      <c r="O1295" s="24" t="s">
        <v>252</v>
      </c>
    </row>
    <row r="1296" spans="9:15" ht="12.75">
      <c r="I1296" s="31" t="s">
        <v>1099</v>
      </c>
      <c r="J1296" s="66"/>
      <c r="K1296" s="32">
        <v>2.49</v>
      </c>
      <c r="L1296" s="33">
        <v>500</v>
      </c>
      <c r="M1296" s="32">
        <f t="shared" si="95"/>
        <v>4.98</v>
      </c>
      <c r="O1296" s="24" t="s">
        <v>408</v>
      </c>
    </row>
    <row r="1297" spans="2:15" ht="12.75">
      <c r="B1297" s="195">
        <v>6</v>
      </c>
      <c r="C1297" s="195">
        <v>79</v>
      </c>
      <c r="D1297" s="195">
        <v>1</v>
      </c>
      <c r="F1297" s="198">
        <v>1475</v>
      </c>
      <c r="G1297" s="195">
        <f>B1297/F1297*1000</f>
        <v>4.067796610169491</v>
      </c>
      <c r="H1297" s="1212">
        <f>M1297/F1297*100000</f>
        <v>134.91525423728814</v>
      </c>
      <c r="I1297" s="71" t="s">
        <v>3015</v>
      </c>
      <c r="J1297" s="96"/>
      <c r="K1297" s="29">
        <v>1.99</v>
      </c>
      <c r="L1297" s="30">
        <v>1000</v>
      </c>
      <c r="M1297" s="29">
        <f>K1297/L1297*1000</f>
        <v>1.99</v>
      </c>
      <c r="O1297" s="24" t="s">
        <v>1646</v>
      </c>
    </row>
    <row r="1298" spans="2:15" ht="12.75">
      <c r="B1298" s="195">
        <v>6</v>
      </c>
      <c r="C1298" s="195">
        <v>79</v>
      </c>
      <c r="D1298" s="195">
        <v>1</v>
      </c>
      <c r="F1298" s="198">
        <v>1475</v>
      </c>
      <c r="G1298" s="195">
        <f>B1298/F1298*1000</f>
        <v>4.067796610169491</v>
      </c>
      <c r="H1298" s="1212">
        <f>M1298/F1298*100000</f>
        <v>148.47457627118644</v>
      </c>
      <c r="I1298" s="28" t="s">
        <v>2511</v>
      </c>
      <c r="J1298" s="96"/>
      <c r="K1298" s="29">
        <v>2.19</v>
      </c>
      <c r="L1298" s="30">
        <v>1000</v>
      </c>
      <c r="M1298" s="29">
        <f>K1298/L1298*1000</f>
        <v>2.19</v>
      </c>
      <c r="O1298" s="24" t="s">
        <v>2013</v>
      </c>
    </row>
    <row r="1299" spans="2:15" ht="12.75">
      <c r="B1299" s="195">
        <v>6</v>
      </c>
      <c r="C1299" s="195">
        <v>79</v>
      </c>
      <c r="D1299" s="195">
        <v>1</v>
      </c>
      <c r="F1299" s="198">
        <v>1475</v>
      </c>
      <c r="G1299" s="195">
        <f>B1299/F1299*1000</f>
        <v>4.067796610169491</v>
      </c>
      <c r="H1299" s="1212">
        <f>M1299/F1299*100000</f>
        <v>202.71186440677965</v>
      </c>
      <c r="I1299" s="97" t="s">
        <v>1790</v>
      </c>
      <c r="J1299" s="61"/>
      <c r="K1299" s="41">
        <v>2.99</v>
      </c>
      <c r="L1299" s="42">
        <v>1000</v>
      </c>
      <c r="M1299" s="41">
        <f t="shared" si="95"/>
        <v>2.99</v>
      </c>
      <c r="O1299" s="24" t="s">
        <v>1038</v>
      </c>
    </row>
    <row r="1300" spans="9:15" ht="12.75">
      <c r="I1300" s="40" t="s">
        <v>3019</v>
      </c>
      <c r="K1300" s="5">
        <v>4.29</v>
      </c>
      <c r="L1300">
        <v>1000</v>
      </c>
      <c r="M1300" s="32">
        <f t="shared" si="95"/>
        <v>4.29</v>
      </c>
      <c r="O1300" s="24" t="s">
        <v>752</v>
      </c>
    </row>
    <row r="1301" spans="2:15" ht="12.75">
      <c r="B1301" s="195">
        <v>7.8</v>
      </c>
      <c r="C1301" s="195">
        <v>74.1</v>
      </c>
      <c r="D1301" s="195">
        <v>2.2</v>
      </c>
      <c r="F1301" s="198">
        <v>1463</v>
      </c>
      <c r="G1301" s="195">
        <f>B1301/F1301*1000</f>
        <v>5.331510594668489</v>
      </c>
      <c r="H1301" s="1212">
        <f>M1301/F1301*100000</f>
        <v>313.05536568694464</v>
      </c>
      <c r="I1301" s="31" t="s">
        <v>1469</v>
      </c>
      <c r="K1301" s="5">
        <v>2.29</v>
      </c>
      <c r="L1301">
        <v>500</v>
      </c>
      <c r="M1301" s="32">
        <f t="shared" si="95"/>
        <v>4.58</v>
      </c>
      <c r="O1301" s="24" t="s">
        <v>12</v>
      </c>
    </row>
    <row r="1302" spans="9:15" ht="12.75">
      <c r="I1302" s="37" t="s">
        <v>2019</v>
      </c>
      <c r="J1302" s="46"/>
      <c r="K1302" s="44">
        <v>1.97</v>
      </c>
      <c r="L1302" s="45">
        <v>500</v>
      </c>
      <c r="M1302" s="44">
        <f>K1302/L1302*1000</f>
        <v>3.94</v>
      </c>
      <c r="O1302" s="24" t="s">
        <v>1038</v>
      </c>
    </row>
    <row r="1303" spans="9:13" ht="12.75">
      <c r="I1303" s="31"/>
      <c r="M1303" s="32"/>
    </row>
    <row r="1304" spans="9:13" ht="12.75">
      <c r="I1304" s="31"/>
      <c r="M1304" s="32"/>
    </row>
    <row r="1305" spans="9:13" ht="12.75">
      <c r="I1305" s="43"/>
      <c r="M1305" s="32"/>
    </row>
    <row r="1306" ht="12.75"/>
    <row r="1307" ht="15.75">
      <c r="I1307" s="52" t="s">
        <v>188</v>
      </c>
    </row>
    <row r="1308" spans="9:15" ht="12.75">
      <c r="I1308" s="56" t="s">
        <v>2046</v>
      </c>
      <c r="J1308" s="4">
        <v>4.19</v>
      </c>
      <c r="K1308" s="5">
        <f>J1308*0.97</f>
        <v>4.0643</v>
      </c>
      <c r="L1308">
        <v>500</v>
      </c>
      <c r="M1308" s="32">
        <f>K1308/L1308*1000</f>
        <v>8.1286</v>
      </c>
      <c r="N1308" s="20" t="s">
        <v>1627</v>
      </c>
      <c r="O1308" s="24" t="s">
        <v>943</v>
      </c>
    </row>
    <row r="1309" spans="9:15" ht="12.75">
      <c r="I1309" s="1" t="s">
        <v>793</v>
      </c>
      <c r="J1309" s="4">
        <v>2.99</v>
      </c>
      <c r="K1309" s="5">
        <f>J1309*0.97</f>
        <v>2.9003</v>
      </c>
      <c r="L1309">
        <v>500</v>
      </c>
      <c r="M1309" s="32">
        <f>K1309/L1309*1000</f>
        <v>5.8006</v>
      </c>
      <c r="O1309" s="24" t="s">
        <v>1456</v>
      </c>
    </row>
    <row r="1310" spans="9:15" ht="12.75">
      <c r="I1310" s="17" t="s">
        <v>793</v>
      </c>
      <c r="J1310" s="160">
        <v>2.95</v>
      </c>
      <c r="K1310" s="18">
        <f>J1310*0.97</f>
        <v>2.8615</v>
      </c>
      <c r="L1310" s="19">
        <v>500</v>
      </c>
      <c r="M1310" s="18">
        <f>K1310/L1310*1000</f>
        <v>5.723</v>
      </c>
      <c r="O1310" s="24" t="s">
        <v>1856</v>
      </c>
    </row>
    <row r="1311" spans="9:15" ht="12.75">
      <c r="I1311" s="2" t="s">
        <v>2438</v>
      </c>
      <c r="J1311" s="4">
        <v>2.1</v>
      </c>
      <c r="K1311" s="5">
        <f>J1311*0.97</f>
        <v>2.037</v>
      </c>
      <c r="L1311">
        <v>500</v>
      </c>
      <c r="M1311" s="32">
        <f>K1311/L1311*1000</f>
        <v>4.074</v>
      </c>
      <c r="O1311" s="24" t="s">
        <v>943</v>
      </c>
    </row>
    <row r="1312" spans="9:15" ht="12.75">
      <c r="I1312" s="71" t="s">
        <v>2438</v>
      </c>
      <c r="J1312" s="96">
        <v>1.7</v>
      </c>
      <c r="K1312" s="29">
        <f>J1312*0.97</f>
        <v>1.649</v>
      </c>
      <c r="L1312" s="30">
        <v>500</v>
      </c>
      <c r="M1312" s="29">
        <f>K1312/L1312*1000</f>
        <v>3.298</v>
      </c>
      <c r="O1312" s="24" t="s">
        <v>1142</v>
      </c>
    </row>
    <row r="1313" spans="9:13" ht="12.75">
      <c r="I1313" s="71"/>
      <c r="J1313" s="96"/>
      <c r="K1313" s="29"/>
      <c r="L1313" s="30"/>
      <c r="M1313" s="29"/>
    </row>
    <row r="1314" spans="9:13" ht="12.75">
      <c r="I1314" s="71"/>
      <c r="J1314" s="96"/>
      <c r="K1314" s="29"/>
      <c r="L1314" s="30"/>
      <c r="M1314" s="29"/>
    </row>
    <row r="1315" spans="9:13" ht="15.75">
      <c r="I1315" s="91" t="s">
        <v>40</v>
      </c>
      <c r="J1315" s="96"/>
      <c r="K1315" s="29"/>
      <c r="L1315" s="30"/>
      <c r="M1315" s="29"/>
    </row>
    <row r="1316" spans="2:15" ht="12.75">
      <c r="B1316" s="195">
        <v>8.7</v>
      </c>
      <c r="C1316" s="195">
        <v>44.3</v>
      </c>
      <c r="D1316" s="195">
        <v>3.3</v>
      </c>
      <c r="F1316" s="198">
        <v>1082</v>
      </c>
      <c r="G1316" s="195">
        <f>B1316/F1316*1000</f>
        <v>8.040665434380776</v>
      </c>
      <c r="I1316" s="97" t="s">
        <v>2364</v>
      </c>
      <c r="J1316" s="61"/>
      <c r="K1316" s="41">
        <v>1.89</v>
      </c>
      <c r="L1316" s="42">
        <v>500</v>
      </c>
      <c r="M1316" s="41">
        <f aca="true" t="shared" si="96" ref="M1316:M1321">K1316/L1316*1000</f>
        <v>3.78</v>
      </c>
      <c r="N1316" s="42"/>
      <c r="O1316" s="125" t="s">
        <v>689</v>
      </c>
    </row>
    <row r="1317" spans="2:15" ht="12.75">
      <c r="B1317" s="195">
        <v>9</v>
      </c>
      <c r="C1317" s="195">
        <v>46.8</v>
      </c>
      <c r="D1317" s="195">
        <v>5</v>
      </c>
      <c r="F1317" s="198">
        <v>1111</v>
      </c>
      <c r="G1317" s="195">
        <f>B1317/F1317*1000</f>
        <v>8.1008100810081</v>
      </c>
      <c r="I1317" s="97" t="s">
        <v>78</v>
      </c>
      <c r="J1317" s="61"/>
      <c r="K1317" s="41">
        <v>1.49</v>
      </c>
      <c r="L1317" s="42">
        <v>500</v>
      </c>
      <c r="M1317" s="41">
        <f t="shared" si="96"/>
        <v>2.98</v>
      </c>
      <c r="N1317" s="42"/>
      <c r="O1317" s="125" t="s">
        <v>2013</v>
      </c>
    </row>
    <row r="1318" spans="9:15" ht="12.75">
      <c r="I1318" s="40" t="s">
        <v>2658</v>
      </c>
      <c r="J1318" s="61"/>
      <c r="K1318" s="41">
        <v>3.69</v>
      </c>
      <c r="L1318" s="42">
        <v>500</v>
      </c>
      <c r="M1318" s="41">
        <f t="shared" si="96"/>
        <v>7.38</v>
      </c>
      <c r="N1318" s="42"/>
      <c r="O1318" s="125" t="s">
        <v>144</v>
      </c>
    </row>
    <row r="1319" spans="2:15" ht="12.75">
      <c r="B1319" s="195">
        <v>7.1</v>
      </c>
      <c r="C1319" s="195">
        <v>41</v>
      </c>
      <c r="D1319" s="195">
        <v>1.4</v>
      </c>
      <c r="F1319" s="198">
        <v>887</v>
      </c>
      <c r="G1319" s="195">
        <f>B1319/F1319*1000</f>
        <v>8.004509582863585</v>
      </c>
      <c r="I1319" s="15" t="s">
        <v>936</v>
      </c>
      <c r="J1319" s="55"/>
      <c r="K1319" s="16">
        <v>0.55</v>
      </c>
      <c r="L1319" s="7">
        <v>500</v>
      </c>
      <c r="M1319" s="16">
        <f t="shared" si="96"/>
        <v>1.1</v>
      </c>
      <c r="N1319" s="42"/>
      <c r="O1319" s="125" t="s">
        <v>581</v>
      </c>
    </row>
    <row r="1320" spans="2:15" ht="12.75">
      <c r="B1320" s="195">
        <v>7.4</v>
      </c>
      <c r="C1320" s="195">
        <v>49</v>
      </c>
      <c r="D1320" s="195">
        <v>3.5</v>
      </c>
      <c r="F1320" s="198">
        <v>1094</v>
      </c>
      <c r="G1320" s="273">
        <f>B1320/F1320*1000</f>
        <v>6.764168190127971</v>
      </c>
      <c r="H1320" s="273"/>
      <c r="I1320" s="6" t="s">
        <v>2596</v>
      </c>
      <c r="J1320" s="55"/>
      <c r="K1320" s="16">
        <v>0.49</v>
      </c>
      <c r="L1320" s="7">
        <v>500</v>
      </c>
      <c r="M1320" s="16">
        <f t="shared" si="96"/>
        <v>0.98</v>
      </c>
      <c r="N1320" s="42"/>
      <c r="O1320" s="125" t="s">
        <v>2613</v>
      </c>
    </row>
    <row r="1321" spans="9:15" ht="12.75">
      <c r="I1321" s="6" t="s">
        <v>2707</v>
      </c>
      <c r="J1321" s="55"/>
      <c r="K1321" s="16">
        <v>0.89</v>
      </c>
      <c r="L1321" s="7">
        <v>750</v>
      </c>
      <c r="M1321" s="16">
        <f t="shared" si="96"/>
        <v>1.1866666666666665</v>
      </c>
      <c r="N1321" s="42"/>
      <c r="O1321" s="125" t="s">
        <v>1646</v>
      </c>
    </row>
    <row r="1322" spans="2:13" ht="12.75">
      <c r="B1322" s="195">
        <v>8.2</v>
      </c>
      <c r="C1322" s="195">
        <v>46.4</v>
      </c>
      <c r="D1322" s="195">
        <v>3.3</v>
      </c>
      <c r="F1322" s="198">
        <v>1034</v>
      </c>
      <c r="G1322" s="195">
        <f>B1322/F1322*1000</f>
        <v>7.930367504835589</v>
      </c>
      <c r="H1322" s="1212"/>
      <c r="I1322" s="56" t="s">
        <v>2101</v>
      </c>
      <c r="J1322" s="96"/>
      <c r="K1322" s="29"/>
      <c r="L1322" s="30"/>
      <c r="M1322" s="29"/>
    </row>
    <row r="1323" ht="15" customHeight="1"/>
    <row r="1324" spans="9:10" ht="15.75">
      <c r="I1324" s="178" t="s">
        <v>1650</v>
      </c>
      <c r="J1324" s="153"/>
    </row>
    <row r="1325" spans="9:15" ht="12.75">
      <c r="I1325" s="6" t="s">
        <v>1206</v>
      </c>
      <c r="J1325" s="1180"/>
      <c r="K1325" s="16">
        <v>0.79</v>
      </c>
      <c r="L1325" s="7">
        <v>500</v>
      </c>
      <c r="M1325" s="16">
        <f>K1325/L1325*1000</f>
        <v>1.58</v>
      </c>
      <c r="N1325" s="42"/>
      <c r="O1325" s="125" t="s">
        <v>1308</v>
      </c>
    </row>
    <row r="1326" spans="9:15" ht="12.75">
      <c r="I1326" s="6" t="s">
        <v>2730</v>
      </c>
      <c r="J1326" s="1180" t="s">
        <v>3116</v>
      </c>
      <c r="K1326" s="16"/>
      <c r="L1326" s="7"/>
      <c r="M1326" s="16">
        <f>M1462/0.66</f>
        <v>4.02020202020202</v>
      </c>
      <c r="N1326" s="42"/>
      <c r="O1326" s="125" t="s">
        <v>754</v>
      </c>
    </row>
    <row r="1327" spans="9:15" ht="12.75">
      <c r="I1327" s="6" t="s">
        <v>2728</v>
      </c>
      <c r="J1327" s="1180" t="s">
        <v>2729</v>
      </c>
      <c r="K1327" s="16"/>
      <c r="L1327" s="7"/>
      <c r="M1327" s="16">
        <f>1/0.83*M1448</f>
        <v>1.748297537977999</v>
      </c>
      <c r="N1327" s="42"/>
      <c r="O1327" s="125" t="s">
        <v>754</v>
      </c>
    </row>
    <row r="1328" spans="2:16" ht="12.75">
      <c r="B1328" s="195">
        <v>14</v>
      </c>
      <c r="C1328" s="195">
        <v>74</v>
      </c>
      <c r="D1328" s="195">
        <v>1.9</v>
      </c>
      <c r="F1328" s="198">
        <v>1597</v>
      </c>
      <c r="G1328" s="195">
        <f>B1328/F1328*1000</f>
        <v>8.766437069505322</v>
      </c>
      <c r="H1328" s="1212">
        <f>M1328/F1328*100000</f>
        <v>118.97307451471508</v>
      </c>
      <c r="I1328" s="15" t="s">
        <v>3172</v>
      </c>
      <c r="J1328" s="152"/>
      <c r="K1328" s="16">
        <v>0.95</v>
      </c>
      <c r="L1328" s="7">
        <v>500</v>
      </c>
      <c r="M1328" s="16">
        <f>K1328/L1328*1000</f>
        <v>1.9</v>
      </c>
      <c r="N1328" s="42"/>
      <c r="O1328" s="125" t="s">
        <v>706</v>
      </c>
      <c r="P1328" s="685"/>
    </row>
    <row r="1329" spans="2:16" ht="12.75">
      <c r="B1329" s="195">
        <v>15</v>
      </c>
      <c r="C1329" s="195">
        <v>79</v>
      </c>
      <c r="D1329" s="195">
        <v>1.6</v>
      </c>
      <c r="F1329" s="198">
        <v>1656</v>
      </c>
      <c r="G1329" s="195">
        <f>B1329/F1329*1000</f>
        <v>9.057971014492754</v>
      </c>
      <c r="H1329" s="1212">
        <f>M1329/F1329*100000</f>
        <v>83.33333333333333</v>
      </c>
      <c r="I1329" s="15" t="s">
        <v>1771</v>
      </c>
      <c r="J1329" s="152"/>
      <c r="K1329" s="129">
        <v>0.69</v>
      </c>
      <c r="L1329" s="128">
        <v>500</v>
      </c>
      <c r="M1329" s="129">
        <f>K1329/L1329*1000</f>
        <v>1.38</v>
      </c>
      <c r="N1329" s="42"/>
      <c r="O1329" s="125" t="s">
        <v>956</v>
      </c>
      <c r="P1329" s="685"/>
    </row>
    <row r="1330" spans="2:15" ht="12.75">
      <c r="B1330" s="195">
        <v>13</v>
      </c>
      <c r="C1330" s="195">
        <v>70</v>
      </c>
      <c r="D1330" s="195">
        <v>1.9</v>
      </c>
      <c r="F1330" s="198">
        <v>1512</v>
      </c>
      <c r="G1330" s="195">
        <f>B1330/F1330*1000</f>
        <v>8.597883597883598</v>
      </c>
      <c r="H1330" s="1212">
        <f>M1330/F1330*100000</f>
        <v>91.26984126984127</v>
      </c>
      <c r="I1330" s="6" t="s">
        <v>944</v>
      </c>
      <c r="J1330" s="55"/>
      <c r="K1330" s="16">
        <v>0.69</v>
      </c>
      <c r="L1330" s="7">
        <v>500</v>
      </c>
      <c r="M1330" s="16">
        <f>K1330/L1330*1000</f>
        <v>1.38</v>
      </c>
      <c r="N1330" s="42"/>
      <c r="O1330" s="125" t="s">
        <v>637</v>
      </c>
    </row>
    <row r="1331" spans="2:15" ht="12.75">
      <c r="B1331" s="195">
        <v>13</v>
      </c>
      <c r="C1331" s="195">
        <v>70</v>
      </c>
      <c r="D1331" s="195">
        <v>1.9</v>
      </c>
      <c r="F1331" s="198">
        <v>1512</v>
      </c>
      <c r="G1331" s="195">
        <f>B1331/F1331*1000</f>
        <v>8.597883597883598</v>
      </c>
      <c r="H1331" s="1212">
        <f>M1331/F1331*100000</f>
        <v>91.26984126984127</v>
      </c>
      <c r="I1331" s="15" t="s">
        <v>944</v>
      </c>
      <c r="J1331" s="152"/>
      <c r="K1331" s="129">
        <v>0.69</v>
      </c>
      <c r="L1331" s="128">
        <v>500</v>
      </c>
      <c r="M1331" s="129">
        <f>K1331/L1331*1000</f>
        <v>1.38</v>
      </c>
      <c r="N1331" s="42"/>
      <c r="O1331" s="125" t="s">
        <v>1030</v>
      </c>
    </row>
    <row r="1332" spans="9:15" ht="12.75">
      <c r="I1332" s="1155" t="s">
        <v>2733</v>
      </c>
      <c r="J1332" s="1209"/>
      <c r="K1332" s="1210">
        <v>0.55</v>
      </c>
      <c r="L1332" s="895">
        <v>380</v>
      </c>
      <c r="M1332" s="1210">
        <f aca="true" t="shared" si="97" ref="M1332:M1338">K1332/L1332*1000</f>
        <v>1.4473684210526316</v>
      </c>
      <c r="N1332" s="42"/>
      <c r="O1332" s="125" t="s">
        <v>2695</v>
      </c>
    </row>
    <row r="1333" spans="9:15" ht="12.75">
      <c r="I1333" s="43" t="s">
        <v>2647</v>
      </c>
      <c r="J1333" s="5">
        <v>3.49</v>
      </c>
      <c r="K1333" s="5">
        <f>J1333*0.97</f>
        <v>3.3853</v>
      </c>
      <c r="L1333">
        <v>300</v>
      </c>
      <c r="M1333" s="32">
        <f t="shared" si="97"/>
        <v>11.284333333333334</v>
      </c>
      <c r="O1333" s="24" t="s">
        <v>692</v>
      </c>
    </row>
    <row r="1334" spans="9:15" ht="12.75">
      <c r="I1334" s="59" t="s">
        <v>2585</v>
      </c>
      <c r="J1334" s="5">
        <v>2.3</v>
      </c>
      <c r="K1334" s="5">
        <f>J1334*0.97</f>
        <v>2.231</v>
      </c>
      <c r="L1334">
        <v>500</v>
      </c>
      <c r="M1334" s="32">
        <f>K1334/L1334*1000</f>
        <v>4.462</v>
      </c>
      <c r="O1334" s="24" t="s">
        <v>92</v>
      </c>
    </row>
    <row r="1335" spans="9:15" ht="12.75">
      <c r="I1335" s="31" t="s">
        <v>1501</v>
      </c>
      <c r="J1335" s="5">
        <v>2.19</v>
      </c>
      <c r="K1335" s="5">
        <f>J1335*0.97</f>
        <v>2.1243</v>
      </c>
      <c r="L1335">
        <v>200</v>
      </c>
      <c r="M1335" s="32">
        <f>K1335/L1335*1000</f>
        <v>10.6215</v>
      </c>
      <c r="O1335" s="24" t="s">
        <v>2213</v>
      </c>
    </row>
    <row r="1336" spans="9:15" ht="12.75">
      <c r="I1336" s="71" t="s">
        <v>2585</v>
      </c>
      <c r="J1336" s="29">
        <v>2.3</v>
      </c>
      <c r="K1336" s="29">
        <f>J1336*0.97</f>
        <v>2.231</v>
      </c>
      <c r="L1336" s="30">
        <v>500</v>
      </c>
      <c r="M1336" s="29">
        <f t="shared" si="97"/>
        <v>4.462</v>
      </c>
      <c r="O1336" s="24" t="s">
        <v>1456</v>
      </c>
    </row>
    <row r="1337" spans="9:15" ht="12.75">
      <c r="I1337" s="1093" t="s">
        <v>1047</v>
      </c>
      <c r="J1337" s="9">
        <v>2.95</v>
      </c>
      <c r="K1337" s="9">
        <f>J1337*0.97</f>
        <v>2.8615</v>
      </c>
      <c r="L1337" s="10">
        <v>500</v>
      </c>
      <c r="M1337" s="76">
        <f t="shared" si="97"/>
        <v>5.723</v>
      </c>
      <c r="N1337" s="10"/>
      <c r="O1337" s="224" t="s">
        <v>35</v>
      </c>
    </row>
    <row r="1338" spans="7:15" ht="12.75">
      <c r="G1338" s="278" t="s">
        <v>2680</v>
      </c>
      <c r="I1338" s="71" t="s">
        <v>2421</v>
      </c>
      <c r="J1338" s="29"/>
      <c r="K1338" s="29">
        <f>1.65/4</f>
        <v>0.4125</v>
      </c>
      <c r="L1338" s="30">
        <v>60</v>
      </c>
      <c r="M1338" s="29">
        <f t="shared" si="97"/>
        <v>6.875</v>
      </c>
      <c r="O1338" s="102" t="s">
        <v>1320</v>
      </c>
    </row>
    <row r="1339" spans="7:15" ht="12.75">
      <c r="G1339" s="102">
        <f>48/75</f>
        <v>0.64</v>
      </c>
      <c r="I1339" s="2" t="s">
        <v>2679</v>
      </c>
      <c r="J1339" s="5"/>
      <c r="K1339" s="5">
        <v>2.24</v>
      </c>
      <c r="L1339">
        <v>480</v>
      </c>
      <c r="M1339" s="32">
        <f>K1339/L1339*1000</f>
        <v>4.666666666666667</v>
      </c>
      <c r="O1339" s="24" t="s">
        <v>537</v>
      </c>
    </row>
    <row r="1340" spans="7:15" ht="12.75">
      <c r="G1340" s="102">
        <f>172/270</f>
        <v>0.6370370370370371</v>
      </c>
      <c r="I1340" s="209" t="s">
        <v>2076</v>
      </c>
      <c r="J1340" s="5"/>
      <c r="M1340" s="32">
        <f>M1382/G1340</f>
        <v>5.627616279069767</v>
      </c>
      <c r="O1340" s="24" t="s">
        <v>2434</v>
      </c>
    </row>
    <row r="1341" spans="7:15" ht="12.75">
      <c r="G1341" s="102">
        <f>182/290</f>
        <v>0.6275862068965518</v>
      </c>
      <c r="I1341" s="59" t="s">
        <v>2486</v>
      </c>
      <c r="J1341" s="5"/>
      <c r="M1341" s="32">
        <f>M1378/G1341</f>
        <v>4.270329670329669</v>
      </c>
      <c r="O1341" s="24" t="s">
        <v>2434</v>
      </c>
    </row>
    <row r="1342" spans="9:13" ht="12.75">
      <c r="I1342" s="31"/>
      <c r="J1342" s="5"/>
      <c r="M1342" s="32"/>
    </row>
    <row r="1343" ht="18.75">
      <c r="I1343" s="31" t="s">
        <v>1062</v>
      </c>
    </row>
    <row r="1344" spans="9:15" ht="12.75">
      <c r="I1344" s="1" t="s">
        <v>1153</v>
      </c>
      <c r="J1344" s="5"/>
      <c r="K1344" s="5">
        <v>2.99</v>
      </c>
      <c r="L1344">
        <v>250</v>
      </c>
      <c r="M1344" s="32">
        <f>K1344/L1344*1000</f>
        <v>11.96</v>
      </c>
      <c r="O1344" s="102" t="s">
        <v>2542</v>
      </c>
    </row>
    <row r="1345" spans="9:15" ht="12.75">
      <c r="I1345" s="352" t="s">
        <v>1338</v>
      </c>
      <c r="J1345" s="353"/>
      <c r="K1345" s="353">
        <v>2.5</v>
      </c>
      <c r="L1345" s="354">
        <v>250</v>
      </c>
      <c r="M1345" s="353">
        <f>K1345/L1345*1000</f>
        <v>10</v>
      </c>
      <c r="N1345" s="426" t="s">
        <v>3028</v>
      </c>
      <c r="O1345" s="102" t="s">
        <v>943</v>
      </c>
    </row>
    <row r="1346" spans="9:15" ht="12.75">
      <c r="I1346" s="352"/>
      <c r="J1346" s="353"/>
      <c r="K1346" s="353"/>
      <c r="L1346" s="354"/>
      <c r="M1346" s="353"/>
      <c r="N1346" s="426"/>
      <c r="O1346" s="102"/>
    </row>
    <row r="1347" spans="10:13" ht="12.75">
      <c r="J1347" s="5"/>
      <c r="M1347" s="32"/>
    </row>
    <row r="1348" spans="10:13" ht="12.75">
      <c r="J1348" s="5"/>
      <c r="M1348" s="32"/>
    </row>
    <row r="1349" spans="9:13" ht="17.25" customHeight="1">
      <c r="I1349" s="52" t="s">
        <v>2626</v>
      </c>
      <c r="J1349" s="5"/>
      <c r="M1349" s="32"/>
    </row>
    <row r="1350" spans="9:13" ht="12.75">
      <c r="I1350" s="56" t="s">
        <v>254</v>
      </c>
      <c r="J1350" s="5"/>
      <c r="M1350" s="32"/>
    </row>
    <row r="1351" spans="9:15" ht="12.75">
      <c r="I1351" s="2" t="s">
        <v>597</v>
      </c>
      <c r="J1351" s="5"/>
      <c r="K1351" s="5">
        <v>7.97</v>
      </c>
      <c r="L1351">
        <v>500</v>
      </c>
      <c r="M1351" s="32">
        <f>K1351/L1351*1000</f>
        <v>15.94</v>
      </c>
      <c r="O1351" s="24" t="s">
        <v>1304</v>
      </c>
    </row>
    <row r="1352" ht="17.25" customHeight="1"/>
    <row r="1353" spans="6:14" ht="20.25">
      <c r="F1353" s="1174" t="s">
        <v>2630</v>
      </c>
      <c r="I1353" s="261" t="s">
        <v>2794</v>
      </c>
      <c r="J1353" s="198"/>
      <c r="M1353" s="32"/>
      <c r="N1353" s="923"/>
    </row>
    <row r="1354" spans="6:15" ht="12.75">
      <c r="F1354" s="1174"/>
      <c r="G1354" s="195" t="e">
        <f>B1354/F1354*1000</f>
        <v>#DIV/0!</v>
      </c>
      <c r="H1354" s="1212" t="e">
        <f>M1354/F1354*100000</f>
        <v>#DIV/0!</v>
      </c>
      <c r="I1354" s="15" t="s">
        <v>2754</v>
      </c>
      <c r="J1354" s="1339"/>
      <c r="K1354" s="129">
        <v>0.43</v>
      </c>
      <c r="L1354" s="128">
        <v>250</v>
      </c>
      <c r="M1354" s="129">
        <f>K1354/L1354*1000</f>
        <v>1.72</v>
      </c>
      <c r="N1354" s="923"/>
      <c r="O1354" s="448" t="s">
        <v>1308</v>
      </c>
    </row>
    <row r="1355" spans="6:15" ht="12.75">
      <c r="F1355" s="1174"/>
      <c r="G1355" s="195" t="e">
        <f>B1355/F1355*1000</f>
        <v>#DIV/0!</v>
      </c>
      <c r="H1355" s="1212" t="e">
        <f>M1355/F1355*100000</f>
        <v>#DIV/0!</v>
      </c>
      <c r="I1355" s="15" t="s">
        <v>2753</v>
      </c>
      <c r="J1355" s="1339"/>
      <c r="K1355" s="129">
        <v>0.43</v>
      </c>
      <c r="L1355" s="128">
        <v>250</v>
      </c>
      <c r="M1355" s="129">
        <f>K1355/L1355*1000</f>
        <v>1.72</v>
      </c>
      <c r="N1355" s="923"/>
      <c r="O1355" s="448" t="s">
        <v>1308</v>
      </c>
    </row>
    <row r="1356" spans="2:15" ht="12.75">
      <c r="B1356" s="195">
        <v>9</v>
      </c>
      <c r="C1356" s="195">
        <v>63</v>
      </c>
      <c r="D1356" s="195">
        <v>1.7</v>
      </c>
      <c r="F1356" s="1174">
        <v>1414</v>
      </c>
      <c r="G1356" s="195">
        <f aca="true" t="shared" si="98" ref="G1356:G1361">B1356/F1356*1000</f>
        <v>6.364922206506365</v>
      </c>
      <c r="H1356" s="1212">
        <f>M1356/F1356*100000</f>
        <v>421.4992927864215</v>
      </c>
      <c r="I1356" s="40" t="s">
        <v>2642</v>
      </c>
      <c r="J1356" s="590"/>
      <c r="K1356" s="41">
        <v>1.49</v>
      </c>
      <c r="L1356" s="42">
        <v>250</v>
      </c>
      <c r="M1356" s="41">
        <f>K1356/L1356*1000</f>
        <v>5.96</v>
      </c>
      <c r="N1356" s="1165"/>
      <c r="O1356" s="24" t="s">
        <v>1308</v>
      </c>
    </row>
    <row r="1357" spans="2:15" ht="12.75">
      <c r="B1357" s="195">
        <v>9</v>
      </c>
      <c r="C1357" s="195">
        <v>63</v>
      </c>
      <c r="D1357" s="195">
        <v>1.7</v>
      </c>
      <c r="F1357" s="1174">
        <v>1414</v>
      </c>
      <c r="G1357" s="195">
        <f t="shared" si="98"/>
        <v>6.364922206506365</v>
      </c>
      <c r="H1357" s="1212">
        <f>M1357/F1357*100000</f>
        <v>551.6265912305516</v>
      </c>
      <c r="I1357" s="97" t="s">
        <v>1857</v>
      </c>
      <c r="J1357" s="590"/>
      <c r="K1357" s="41">
        <v>1.95</v>
      </c>
      <c r="L1357" s="42">
        <v>250</v>
      </c>
      <c r="M1357" s="41">
        <f>K1357/L1357*1000</f>
        <v>7.8</v>
      </c>
      <c r="N1357" s="1165"/>
      <c r="O1357" s="24" t="s">
        <v>3169</v>
      </c>
    </row>
    <row r="1358" spans="2:15" ht="12.75">
      <c r="B1358" s="195">
        <v>9</v>
      </c>
      <c r="C1358" s="195">
        <v>63</v>
      </c>
      <c r="D1358" s="195">
        <v>1.7</v>
      </c>
      <c r="F1358" s="1174">
        <v>1414</v>
      </c>
      <c r="G1358" s="195">
        <f t="shared" si="98"/>
        <v>6.364922206506365</v>
      </c>
      <c r="H1358" s="1212">
        <f>M1358/F1358*100000</f>
        <v>421.4992927864215</v>
      </c>
      <c r="I1358" s="1468" t="s">
        <v>1857</v>
      </c>
      <c r="J1358" s="1469"/>
      <c r="K1358" s="1470">
        <v>1.49</v>
      </c>
      <c r="L1358" s="1471">
        <v>250</v>
      </c>
      <c r="M1358" s="1470">
        <f>K1358/L1358*1000</f>
        <v>5.96</v>
      </c>
      <c r="N1358" s="923"/>
      <c r="O1358" s="24" t="s">
        <v>848</v>
      </c>
    </row>
    <row r="1359" spans="2:15" ht="12.75">
      <c r="B1359" s="195">
        <v>12</v>
      </c>
      <c r="C1359" s="195">
        <v>64</v>
      </c>
      <c r="D1359" s="195">
        <v>1.6</v>
      </c>
      <c r="F1359" s="1174">
        <v>1473</v>
      </c>
      <c r="G1359" s="195">
        <f t="shared" si="98"/>
        <v>8.146639511201629</v>
      </c>
      <c r="H1359" s="1212">
        <f aca="true" t="shared" si="99" ref="H1359:H1366">M1359/F1359*100000</f>
        <v>187.37270875763747</v>
      </c>
      <c r="I1359" s="15" t="s">
        <v>1065</v>
      </c>
      <c r="J1359" s="1339"/>
      <c r="K1359" s="129">
        <v>0.69</v>
      </c>
      <c r="L1359" s="128">
        <v>250</v>
      </c>
      <c r="M1359" s="16">
        <f aca="true" t="shared" si="100" ref="M1359:M1368">K1359/L1359*1000</f>
        <v>2.76</v>
      </c>
      <c r="N1359" s="923"/>
      <c r="O1359" s="448" t="s">
        <v>2384</v>
      </c>
    </row>
    <row r="1360" spans="2:15" ht="12.75">
      <c r="B1360" s="195">
        <v>9</v>
      </c>
      <c r="C1360" s="195">
        <v>63</v>
      </c>
      <c r="D1360" s="195">
        <v>1.7</v>
      </c>
      <c r="F1360" s="1174">
        <v>1414</v>
      </c>
      <c r="G1360" s="195">
        <f t="shared" si="98"/>
        <v>6.364922206506365</v>
      </c>
      <c r="H1360" s="1212">
        <f t="shared" si="99"/>
        <v>251.76803394625176</v>
      </c>
      <c r="I1360" s="6" t="s">
        <v>2546</v>
      </c>
      <c r="J1360" s="591"/>
      <c r="K1360" s="16">
        <v>0.89</v>
      </c>
      <c r="L1360" s="7">
        <v>250</v>
      </c>
      <c r="M1360" s="16">
        <f t="shared" si="100"/>
        <v>3.56</v>
      </c>
      <c r="N1360" s="923"/>
      <c r="O1360" s="24" t="s">
        <v>848</v>
      </c>
    </row>
    <row r="1361" spans="2:15" ht="12.75">
      <c r="B1361" s="195">
        <v>11</v>
      </c>
      <c r="C1361" s="195">
        <v>58</v>
      </c>
      <c r="D1361" s="195">
        <v>6</v>
      </c>
      <c r="F1361" s="1174">
        <v>1523</v>
      </c>
      <c r="G1361" s="195">
        <f t="shared" si="98"/>
        <v>7.222586999343401</v>
      </c>
      <c r="H1361" s="1212">
        <f t="shared" si="99"/>
        <v>233.74917925147736</v>
      </c>
      <c r="I1361" s="6" t="s">
        <v>2795</v>
      </c>
      <c r="J1361" s="591"/>
      <c r="K1361" s="16">
        <v>0.89</v>
      </c>
      <c r="L1361" s="7">
        <v>250</v>
      </c>
      <c r="M1361" s="16">
        <f t="shared" si="100"/>
        <v>3.56</v>
      </c>
      <c r="N1361" s="923"/>
      <c r="O1361" s="24" t="s">
        <v>848</v>
      </c>
    </row>
    <row r="1362" spans="2:15" ht="12.75">
      <c r="B1362" s="195">
        <v>8.9</v>
      </c>
      <c r="C1362" s="195">
        <v>75</v>
      </c>
      <c r="D1362" s="195">
        <v>2.2</v>
      </c>
      <c r="F1362" s="198">
        <v>1549</v>
      </c>
      <c r="G1362" s="195">
        <f aca="true" t="shared" si="101" ref="G1362:G1368">B1362/F1362*1000</f>
        <v>5.7456423499031635</v>
      </c>
      <c r="H1362" s="1212">
        <f t="shared" si="99"/>
        <v>813.4280180761781</v>
      </c>
      <c r="I1362" s="37" t="s">
        <v>2796</v>
      </c>
      <c r="J1362" s="1177"/>
      <c r="K1362" s="32">
        <v>1.89</v>
      </c>
      <c r="L1362" s="33">
        <v>150</v>
      </c>
      <c r="M1362" s="32">
        <f t="shared" si="100"/>
        <v>12.6</v>
      </c>
      <c r="N1362" s="1165"/>
      <c r="O1362" s="448" t="s">
        <v>2911</v>
      </c>
    </row>
    <row r="1363" spans="2:15" ht="12.75">
      <c r="B1363" s="195">
        <v>9</v>
      </c>
      <c r="C1363" s="195">
        <v>61.5</v>
      </c>
      <c r="D1363" s="195">
        <v>1.5</v>
      </c>
      <c r="F1363" s="198">
        <v>1406</v>
      </c>
      <c r="G1363" s="195">
        <f t="shared" si="101"/>
        <v>6.401137980085348</v>
      </c>
      <c r="H1363" s="1212">
        <f t="shared" si="99"/>
        <v>516.9482704784374</v>
      </c>
      <c r="I1363" s="6" t="s">
        <v>854</v>
      </c>
      <c r="J1363" s="591"/>
      <c r="K1363" s="16">
        <v>1.49</v>
      </c>
      <c r="L1363" s="7">
        <v>205</v>
      </c>
      <c r="M1363" s="16">
        <f t="shared" si="100"/>
        <v>7.2682926829268295</v>
      </c>
      <c r="N1363" s="1165"/>
      <c r="O1363" s="448" t="s">
        <v>848</v>
      </c>
    </row>
    <row r="1364" spans="2:15" ht="12.75">
      <c r="B1364" s="195">
        <v>9</v>
      </c>
      <c r="C1364" s="195">
        <v>61.5</v>
      </c>
      <c r="D1364" s="195">
        <v>1.5</v>
      </c>
      <c r="F1364" s="198">
        <v>1406</v>
      </c>
      <c r="G1364" s="195">
        <f t="shared" si="101"/>
        <v>6.401137980085348</v>
      </c>
      <c r="H1364" s="1212">
        <f t="shared" si="99"/>
        <v>352.0625889046941</v>
      </c>
      <c r="I1364" s="6" t="s">
        <v>855</v>
      </c>
      <c r="J1364" s="591"/>
      <c r="K1364" s="16">
        <v>0.99</v>
      </c>
      <c r="L1364" s="7">
        <v>200</v>
      </c>
      <c r="M1364" s="16">
        <f t="shared" si="100"/>
        <v>4.949999999999999</v>
      </c>
      <c r="N1364" s="1165" t="s">
        <v>1362</v>
      </c>
      <c r="O1364" s="448" t="s">
        <v>637</v>
      </c>
    </row>
    <row r="1365" spans="2:15" ht="12.75">
      <c r="B1365" s="195">
        <v>12.8</v>
      </c>
      <c r="C1365" s="195">
        <v>62.2</v>
      </c>
      <c r="D1365" s="195">
        <v>9.5</v>
      </c>
      <c r="F1365" s="198">
        <v>1687</v>
      </c>
      <c r="G1365" s="195">
        <f t="shared" si="101"/>
        <v>7.587433313574393</v>
      </c>
      <c r="H1365" s="1212">
        <f t="shared" si="99"/>
        <v>293.42027267338466</v>
      </c>
      <c r="I1365" s="56" t="s">
        <v>2790</v>
      </c>
      <c r="J1365" s="591"/>
      <c r="K1365" s="57">
        <v>0.99</v>
      </c>
      <c r="L1365" s="20">
        <v>200</v>
      </c>
      <c r="M1365" s="57">
        <f t="shared" si="100"/>
        <v>4.949999999999999</v>
      </c>
      <c r="N1365" s="1165" t="s">
        <v>1362</v>
      </c>
      <c r="O1365" s="448" t="s">
        <v>637</v>
      </c>
    </row>
    <row r="1366" spans="2:15" ht="12.75">
      <c r="B1366" s="195">
        <v>12.8</v>
      </c>
      <c r="C1366" s="195">
        <v>62.2</v>
      </c>
      <c r="D1366" s="195">
        <v>9.5</v>
      </c>
      <c r="F1366" s="198">
        <v>1687</v>
      </c>
      <c r="G1366" s="195">
        <f t="shared" si="101"/>
        <v>7.587433313574393</v>
      </c>
      <c r="H1366" s="1212">
        <f t="shared" si="99"/>
        <v>382.33550681683465</v>
      </c>
      <c r="I1366" s="56" t="s">
        <v>2791</v>
      </c>
      <c r="J1366" s="591"/>
      <c r="K1366" s="57">
        <v>1.29</v>
      </c>
      <c r="L1366" s="20">
        <v>200</v>
      </c>
      <c r="M1366" s="57">
        <f t="shared" si="100"/>
        <v>6.45</v>
      </c>
      <c r="N1366" s="923"/>
      <c r="O1366" s="24" t="s">
        <v>269</v>
      </c>
    </row>
    <row r="1367" spans="2:15" ht="12.75">
      <c r="B1367" s="195">
        <v>10.7</v>
      </c>
      <c r="C1367" s="195">
        <v>59.6</v>
      </c>
      <c r="D1367" s="195">
        <v>5.7</v>
      </c>
      <c r="F1367" s="198">
        <v>1534</v>
      </c>
      <c r="G1367" s="195">
        <f t="shared" si="101"/>
        <v>6.975228161668839</v>
      </c>
      <c r="I1367" s="71" t="s">
        <v>2792</v>
      </c>
      <c r="J1367" s="283"/>
      <c r="K1367" s="29">
        <v>1.19</v>
      </c>
      <c r="L1367" s="30">
        <v>200</v>
      </c>
      <c r="M1367" s="29">
        <f t="shared" si="100"/>
        <v>5.949999999999999</v>
      </c>
      <c r="N1367" s="923"/>
      <c r="O1367" s="24" t="s">
        <v>1199</v>
      </c>
    </row>
    <row r="1368" spans="2:15" ht="12.75">
      <c r="B1368" s="195">
        <v>8.7</v>
      </c>
      <c r="C1368" s="195">
        <v>64.6</v>
      </c>
      <c r="D1368" s="195">
        <v>2.5</v>
      </c>
      <c r="F1368" s="198">
        <v>1469</v>
      </c>
      <c r="G1368" s="195">
        <f t="shared" si="101"/>
        <v>5.922396187882913</v>
      </c>
      <c r="I1368" s="28" t="s">
        <v>2793</v>
      </c>
      <c r="J1368" s="283"/>
      <c r="K1368" s="29">
        <v>1.19</v>
      </c>
      <c r="L1368" s="30">
        <v>200</v>
      </c>
      <c r="M1368" s="29">
        <f t="shared" si="100"/>
        <v>5.949999999999999</v>
      </c>
      <c r="N1368" s="923"/>
      <c r="O1368" s="24" t="s">
        <v>18</v>
      </c>
    </row>
    <row r="1369" spans="10:13" ht="12.75">
      <c r="J1369" s="198"/>
      <c r="M1369" s="32"/>
    </row>
    <row r="1370" spans="9:10" ht="20.25">
      <c r="I1370" s="595" t="s">
        <v>704</v>
      </c>
      <c r="J1370" s="153"/>
    </row>
    <row r="1371" spans="8:15" ht="15.75">
      <c r="H1371" s="1212"/>
      <c r="I1371" s="248" t="s">
        <v>1307</v>
      </c>
      <c r="J1371" s="1167"/>
      <c r="K1371" s="1168">
        <v>2.99</v>
      </c>
      <c r="L1371" s="49">
        <v>500</v>
      </c>
      <c r="M1371" s="1169">
        <f aca="true" t="shared" si="102" ref="M1371:M1376">K1371/L1371*1000</f>
        <v>5.98</v>
      </c>
      <c r="N1371" s="49"/>
      <c r="O1371" s="125" t="s">
        <v>3154</v>
      </c>
    </row>
    <row r="1372" spans="8:15" ht="15.75">
      <c r="H1372" s="1212"/>
      <c r="I1372" s="1530" t="s">
        <v>1307</v>
      </c>
      <c r="J1372" s="1531"/>
      <c r="K1372" s="1532">
        <v>2.39</v>
      </c>
      <c r="L1372" s="1533">
        <v>500</v>
      </c>
      <c r="M1372" s="1534">
        <f t="shared" si="102"/>
        <v>4.78</v>
      </c>
      <c r="N1372" s="49"/>
      <c r="O1372" s="448" t="s">
        <v>2451</v>
      </c>
    </row>
    <row r="1373" spans="9:15" ht="12.75">
      <c r="I1373" s="71" t="s">
        <v>1307</v>
      </c>
      <c r="J1373" s="96"/>
      <c r="K1373" s="625">
        <v>2.29</v>
      </c>
      <c r="L1373" s="30">
        <v>500</v>
      </c>
      <c r="M1373" s="116">
        <f t="shared" si="102"/>
        <v>4.58</v>
      </c>
      <c r="O1373" s="24" t="s">
        <v>2256</v>
      </c>
    </row>
    <row r="1374" spans="2:15" ht="12.75">
      <c r="B1374" s="1206">
        <v>14</v>
      </c>
      <c r="C1374" s="1206">
        <v>34</v>
      </c>
      <c r="D1374" s="1206">
        <v>8.6</v>
      </c>
      <c r="E1374" s="1207"/>
      <c r="F1374" s="1208">
        <v>1161</v>
      </c>
      <c r="G1374" s="1206">
        <f>B1374/F1374*1000</f>
        <v>12.058570198105082</v>
      </c>
      <c r="H1374" s="1206"/>
      <c r="I1374" s="37" t="s">
        <v>1490</v>
      </c>
      <c r="J1374" s="1330"/>
      <c r="K1374" s="1331">
        <v>2.69</v>
      </c>
      <c r="L1374" s="1332">
        <v>500</v>
      </c>
      <c r="M1374" s="1331">
        <f t="shared" si="102"/>
        <v>5.38</v>
      </c>
      <c r="N1374" s="426"/>
      <c r="O1374" s="716" t="s">
        <v>1489</v>
      </c>
    </row>
    <row r="1375" spans="2:15" ht="12.75">
      <c r="B1375" s="1206">
        <v>14</v>
      </c>
      <c r="C1375" s="1206">
        <v>34</v>
      </c>
      <c r="D1375" s="1206">
        <v>8.6</v>
      </c>
      <c r="E1375" s="1207"/>
      <c r="F1375" s="1208">
        <v>1161</v>
      </c>
      <c r="G1375" s="1206">
        <f>B1375/F1375*1000</f>
        <v>12.058570198105082</v>
      </c>
      <c r="H1375" s="1206"/>
      <c r="I1375" s="21" t="s">
        <v>1490</v>
      </c>
      <c r="J1375" s="1349"/>
      <c r="K1375" s="1350">
        <f>K1374*0.75</f>
        <v>2.0175</v>
      </c>
      <c r="L1375" s="1351">
        <v>500</v>
      </c>
      <c r="M1375" s="1350">
        <f t="shared" si="102"/>
        <v>4.035</v>
      </c>
      <c r="N1375" s="423" t="s">
        <v>2698</v>
      </c>
      <c r="O1375" s="448" t="s">
        <v>1489</v>
      </c>
    </row>
    <row r="1376" spans="2:15" ht="12.75">
      <c r="B1376" s="1206">
        <v>7.8</v>
      </c>
      <c r="C1376" s="1206">
        <v>37.4</v>
      </c>
      <c r="D1376" s="1206">
        <v>2.7</v>
      </c>
      <c r="E1376" s="1207"/>
      <c r="F1376" s="1208">
        <v>924</v>
      </c>
      <c r="G1376" s="1206">
        <f>B1376/F1376*1000</f>
        <v>8.44155844155844</v>
      </c>
      <c r="H1376" s="1206"/>
      <c r="I1376" s="718" t="s">
        <v>1716</v>
      </c>
      <c r="J1376" s="1274"/>
      <c r="K1376" s="1275">
        <v>2.69</v>
      </c>
      <c r="L1376" s="1276">
        <v>750</v>
      </c>
      <c r="M1376" s="1275">
        <f t="shared" si="102"/>
        <v>3.5866666666666664</v>
      </c>
      <c r="N1376" s="426"/>
      <c r="O1376" s="448" t="s">
        <v>173</v>
      </c>
    </row>
    <row r="1377" spans="2:15" ht="12.75">
      <c r="B1377" s="1206">
        <v>7.8</v>
      </c>
      <c r="C1377" s="1206">
        <v>37.4</v>
      </c>
      <c r="D1377" s="1206">
        <v>2.7</v>
      </c>
      <c r="E1377" s="1207"/>
      <c r="F1377" s="1208">
        <v>924</v>
      </c>
      <c r="G1377" s="1206">
        <f aca="true" t="shared" si="103" ref="G1377:G1383">B1377/F1377*1000</f>
        <v>8.44155844155844</v>
      </c>
      <c r="H1377" s="1206"/>
      <c r="I1377" s="1181" t="s">
        <v>2001</v>
      </c>
      <c r="J1377" s="1271" t="s">
        <v>2359</v>
      </c>
      <c r="K1377" s="1272">
        <f>K1379*0.7</f>
        <v>1.8829999999999998</v>
      </c>
      <c r="L1377" s="1273">
        <v>750</v>
      </c>
      <c r="M1377" s="1272">
        <f aca="true" t="shared" si="104" ref="M1377:M1383">K1377/L1377*1000</f>
        <v>2.5106666666666664</v>
      </c>
      <c r="N1377" s="426"/>
      <c r="O1377" s="448" t="s">
        <v>537</v>
      </c>
    </row>
    <row r="1378" spans="2:15" ht="12.75">
      <c r="B1378" s="1206">
        <v>7.8</v>
      </c>
      <c r="C1378" s="1206">
        <v>37.4</v>
      </c>
      <c r="D1378" s="1206">
        <v>2.7</v>
      </c>
      <c r="E1378" s="1207"/>
      <c r="F1378" s="1208">
        <v>924</v>
      </c>
      <c r="G1378" s="1206">
        <f t="shared" si="103"/>
        <v>8.44155844155844</v>
      </c>
      <c r="H1378" s="1212">
        <f>M1378/F1378*100000</f>
        <v>290.04329004329</v>
      </c>
      <c r="I1378" s="993" t="s">
        <v>2002</v>
      </c>
      <c r="J1378" s="1271" t="s">
        <v>2698</v>
      </c>
      <c r="K1378" s="1272">
        <v>2.01</v>
      </c>
      <c r="L1378" s="1273">
        <v>750</v>
      </c>
      <c r="M1378" s="1272">
        <f t="shared" si="104"/>
        <v>2.6799999999999997</v>
      </c>
      <c r="N1378" s="1348" t="s">
        <v>2698</v>
      </c>
      <c r="O1378" s="448" t="s">
        <v>2455</v>
      </c>
    </row>
    <row r="1379" spans="2:15" ht="12.75">
      <c r="B1379" s="1206">
        <v>7.8</v>
      </c>
      <c r="C1379" s="1206">
        <v>37.4</v>
      </c>
      <c r="D1379" s="1206">
        <v>2.7</v>
      </c>
      <c r="E1379" s="1207"/>
      <c r="F1379" s="1208">
        <v>924</v>
      </c>
      <c r="G1379" s="1206">
        <f t="shared" si="103"/>
        <v>8.44155844155844</v>
      </c>
      <c r="H1379" s="1206"/>
      <c r="I1379" s="718" t="s">
        <v>1716</v>
      </c>
      <c r="J1379" s="1274"/>
      <c r="K1379" s="1275">
        <v>2.69</v>
      </c>
      <c r="L1379" s="1276">
        <v>750</v>
      </c>
      <c r="M1379" s="1275">
        <f t="shared" si="104"/>
        <v>3.5866666666666664</v>
      </c>
      <c r="N1379" s="426"/>
      <c r="O1379" s="448" t="s">
        <v>173</v>
      </c>
    </row>
    <row r="1380" spans="2:15" ht="12.75">
      <c r="B1380" s="195">
        <v>7.8</v>
      </c>
      <c r="C1380" s="195">
        <v>37.4</v>
      </c>
      <c r="D1380" s="195">
        <v>2.7</v>
      </c>
      <c r="F1380" s="198">
        <v>924</v>
      </c>
      <c r="G1380" s="195">
        <f t="shared" si="103"/>
        <v>8.44155844155844</v>
      </c>
      <c r="H1380" s="1212">
        <f>M1380/F1380*100000</f>
        <v>373.73737373737373</v>
      </c>
      <c r="I1380" s="71" t="s">
        <v>2675</v>
      </c>
      <c r="J1380" s="96"/>
      <c r="K1380" s="29">
        <v>2.59</v>
      </c>
      <c r="L1380" s="30">
        <v>750</v>
      </c>
      <c r="M1380" s="29">
        <f t="shared" si="104"/>
        <v>3.453333333333333</v>
      </c>
      <c r="N1380" s="42"/>
      <c r="O1380" s="448" t="s">
        <v>1295</v>
      </c>
    </row>
    <row r="1381" spans="2:15" ht="12.75">
      <c r="B1381" s="195">
        <v>7.8</v>
      </c>
      <c r="C1381" s="195">
        <v>37.4</v>
      </c>
      <c r="D1381" s="195">
        <v>2.7</v>
      </c>
      <c r="F1381" s="198">
        <v>924</v>
      </c>
      <c r="G1381" s="195">
        <f t="shared" si="103"/>
        <v>8.44155844155844</v>
      </c>
      <c r="I1381" s="109" t="s">
        <v>2675</v>
      </c>
      <c r="J1381" s="120"/>
      <c r="K1381" s="22">
        <v>2.49</v>
      </c>
      <c r="L1381" s="23">
        <v>750</v>
      </c>
      <c r="M1381" s="22">
        <f t="shared" si="104"/>
        <v>3.3200000000000003</v>
      </c>
      <c r="N1381" s="42"/>
      <c r="O1381" s="448" t="s">
        <v>1295</v>
      </c>
    </row>
    <row r="1382" spans="2:15" ht="12.75">
      <c r="B1382" s="195">
        <v>7.4</v>
      </c>
      <c r="C1382" s="195">
        <v>40</v>
      </c>
      <c r="D1382" s="195">
        <v>3</v>
      </c>
      <c r="F1382" s="198">
        <v>971</v>
      </c>
      <c r="G1382" s="195">
        <f t="shared" si="103"/>
        <v>7.621009268795057</v>
      </c>
      <c r="I1382" s="109" t="s">
        <v>1699</v>
      </c>
      <c r="J1382" s="924"/>
      <c r="K1382" s="774">
        <f>K1383*0.75</f>
        <v>1.7925</v>
      </c>
      <c r="L1382" s="922">
        <v>500</v>
      </c>
      <c r="M1382" s="774">
        <f t="shared" si="104"/>
        <v>3.585</v>
      </c>
      <c r="N1382" s="423" t="s">
        <v>2698</v>
      </c>
      <c r="O1382" s="24" t="s">
        <v>2877</v>
      </c>
    </row>
    <row r="1383" spans="2:15" ht="12.75">
      <c r="B1383" s="195">
        <v>7.4</v>
      </c>
      <c r="C1383" s="195">
        <v>40</v>
      </c>
      <c r="D1383" s="195">
        <v>3</v>
      </c>
      <c r="F1383" s="198">
        <v>971</v>
      </c>
      <c r="G1383" s="195">
        <f t="shared" si="103"/>
        <v>7.621009268795057</v>
      </c>
      <c r="I1383" s="97" t="s">
        <v>1090</v>
      </c>
      <c r="J1383" s="151"/>
      <c r="K1383" s="58">
        <v>2.39</v>
      </c>
      <c r="L1383" s="39">
        <v>500</v>
      </c>
      <c r="M1383" s="58">
        <f t="shared" si="104"/>
        <v>4.78</v>
      </c>
      <c r="O1383" s="448" t="s">
        <v>269</v>
      </c>
    </row>
    <row r="1384" spans="2:15" ht="12.75">
      <c r="B1384" s="195">
        <v>7.4</v>
      </c>
      <c r="C1384" s="195">
        <v>40</v>
      </c>
      <c r="D1384" s="195">
        <v>3</v>
      </c>
      <c r="F1384" s="198">
        <v>971</v>
      </c>
      <c r="G1384" s="195">
        <f>B1384/F1384*1000</f>
        <v>7.621009268795057</v>
      </c>
      <c r="I1384" s="71" t="s">
        <v>1699</v>
      </c>
      <c r="J1384" s="158"/>
      <c r="K1384" s="116">
        <f>K1385*0.75</f>
        <v>1.7925</v>
      </c>
      <c r="L1384" s="117">
        <v>500</v>
      </c>
      <c r="M1384" s="116">
        <f aca="true" t="shared" si="105" ref="M1384:M1403">K1384/L1384*1000</f>
        <v>3.585</v>
      </c>
      <c r="N1384" s="132" t="s">
        <v>2698</v>
      </c>
      <c r="O1384" s="24" t="s">
        <v>537</v>
      </c>
    </row>
    <row r="1385" spans="2:15" ht="12.75">
      <c r="B1385" s="195">
        <v>7.4</v>
      </c>
      <c r="C1385" s="195">
        <v>40</v>
      </c>
      <c r="D1385" s="195">
        <v>3</v>
      </c>
      <c r="F1385" s="198">
        <v>971</v>
      </c>
      <c r="G1385" s="195">
        <f>B1385/F1385*1000</f>
        <v>7.621009268795057</v>
      </c>
      <c r="I1385" s="71" t="s">
        <v>1090</v>
      </c>
      <c r="J1385" s="158"/>
      <c r="K1385" s="116">
        <v>2.39</v>
      </c>
      <c r="L1385" s="117">
        <v>500</v>
      </c>
      <c r="M1385" s="116">
        <f t="shared" si="105"/>
        <v>4.78</v>
      </c>
      <c r="N1385" s="30"/>
      <c r="O1385" s="716" t="s">
        <v>537</v>
      </c>
    </row>
    <row r="1386" spans="2:15" ht="12.75">
      <c r="B1386" s="195">
        <v>4.8</v>
      </c>
      <c r="C1386" s="195">
        <v>44.8</v>
      </c>
      <c r="D1386" s="195">
        <v>0.8</v>
      </c>
      <c r="F1386" s="198">
        <v>892</v>
      </c>
      <c r="G1386" s="195">
        <f>B1386/F1386*1000</f>
        <v>5.381165919282511</v>
      </c>
      <c r="I1386" s="71" t="s">
        <v>2087</v>
      </c>
      <c r="J1386" s="158"/>
      <c r="K1386" s="116">
        <f>K1387*0.75</f>
        <v>1.7175</v>
      </c>
      <c r="L1386" s="117">
        <v>750</v>
      </c>
      <c r="M1386" s="116">
        <f t="shared" si="105"/>
        <v>2.29</v>
      </c>
      <c r="N1386" s="132" t="s">
        <v>2698</v>
      </c>
      <c r="O1386" s="24" t="s">
        <v>928</v>
      </c>
    </row>
    <row r="1387" spans="2:15" ht="12.75">
      <c r="B1387" s="195">
        <v>4.8</v>
      </c>
      <c r="C1387" s="195">
        <v>44.8</v>
      </c>
      <c r="D1387" s="195">
        <v>0.8</v>
      </c>
      <c r="F1387" s="198">
        <v>892</v>
      </c>
      <c r="G1387" s="195">
        <f>B1387/F1387*1000</f>
        <v>5.381165919282511</v>
      </c>
      <c r="I1387" s="97" t="s">
        <v>1700</v>
      </c>
      <c r="J1387" s="163"/>
      <c r="K1387" s="276">
        <v>2.29</v>
      </c>
      <c r="L1387" s="297">
        <v>750</v>
      </c>
      <c r="M1387" s="276">
        <f t="shared" si="105"/>
        <v>3.0533333333333332</v>
      </c>
      <c r="N1387" s="30"/>
      <c r="O1387" s="448" t="s">
        <v>1281</v>
      </c>
    </row>
    <row r="1388" spans="6:15" ht="12.75">
      <c r="F1388" s="389"/>
      <c r="H1388" s="1212"/>
      <c r="I1388" s="841" t="s">
        <v>2286</v>
      </c>
      <c r="J1388" s="151"/>
      <c r="K1388" s="1035">
        <v>1.59</v>
      </c>
      <c r="L1388" s="1242">
        <v>520</v>
      </c>
      <c r="M1388" s="969">
        <f t="shared" si="105"/>
        <v>3.0576923076923075</v>
      </c>
      <c r="N1388" s="1165" t="s">
        <v>1362</v>
      </c>
      <c r="O1388" s="24" t="s">
        <v>2168</v>
      </c>
    </row>
    <row r="1389" spans="6:15" ht="12.75">
      <c r="F1389" s="389"/>
      <c r="H1389" s="1212"/>
      <c r="I1389" s="841" t="s">
        <v>2287</v>
      </c>
      <c r="J1389" s="151"/>
      <c r="K1389" s="1035">
        <v>1.99</v>
      </c>
      <c r="L1389" s="1242">
        <v>500</v>
      </c>
      <c r="M1389" s="969">
        <f t="shared" si="105"/>
        <v>3.98</v>
      </c>
      <c r="N1389" s="1165"/>
      <c r="O1389" s="24" t="s">
        <v>2168</v>
      </c>
    </row>
    <row r="1390" spans="6:15" ht="12.75">
      <c r="F1390" s="389"/>
      <c r="H1390" s="1212"/>
      <c r="I1390" s="415" t="s">
        <v>2709</v>
      </c>
      <c r="J1390" s="151"/>
      <c r="K1390" s="1035">
        <v>1.29</v>
      </c>
      <c r="L1390" s="1242">
        <v>500</v>
      </c>
      <c r="M1390" s="969">
        <f>K1390/L1390*1000</f>
        <v>2.58</v>
      </c>
      <c r="N1390" s="1165"/>
      <c r="O1390" s="24" t="s">
        <v>1424</v>
      </c>
    </row>
    <row r="1391" spans="6:15" ht="12.75">
      <c r="F1391" s="389"/>
      <c r="H1391" s="1212"/>
      <c r="I1391" s="415" t="s">
        <v>535</v>
      </c>
      <c r="J1391" s="151" t="s">
        <v>1797</v>
      </c>
      <c r="K1391" s="1035">
        <v>2.49</v>
      </c>
      <c r="L1391" s="1242">
        <v>750</v>
      </c>
      <c r="M1391" s="969">
        <f>K1391/L1391*1000</f>
        <v>3.3200000000000003</v>
      </c>
      <c r="N1391" s="1165" t="s">
        <v>1362</v>
      </c>
      <c r="O1391" s="24" t="s">
        <v>3121</v>
      </c>
    </row>
    <row r="1392" spans="6:15" ht="12.75">
      <c r="F1392" s="389">
        <v>880</v>
      </c>
      <c r="H1392" s="1212">
        <f>M1392/F1392*100000</f>
        <v>224.99999999999997</v>
      </c>
      <c r="I1392" s="415" t="s">
        <v>1497</v>
      </c>
      <c r="J1392" s="151"/>
      <c r="K1392" s="1035">
        <v>0.99</v>
      </c>
      <c r="L1392" s="1242">
        <v>500</v>
      </c>
      <c r="M1392" s="969">
        <f t="shared" si="105"/>
        <v>1.98</v>
      </c>
      <c r="N1392" s="1165" t="s">
        <v>1362</v>
      </c>
      <c r="O1392" s="24" t="s">
        <v>2168</v>
      </c>
    </row>
    <row r="1393" spans="9:15" ht="12.75">
      <c r="I1393" s="112" t="s">
        <v>1498</v>
      </c>
      <c r="J1393" s="66"/>
      <c r="K1393" s="1035">
        <v>1.39</v>
      </c>
      <c r="L1393" s="1242">
        <v>500</v>
      </c>
      <c r="M1393" s="969">
        <f t="shared" si="105"/>
        <v>2.78</v>
      </c>
      <c r="N1393" s="1165"/>
      <c r="O1393" s="448" t="s">
        <v>2168</v>
      </c>
    </row>
    <row r="1394" spans="8:15" ht="12.75">
      <c r="H1394" s="1212"/>
      <c r="I1394" s="415" t="s">
        <v>2683</v>
      </c>
      <c r="J1394" s="151"/>
      <c r="K1394" s="430">
        <v>0.75</v>
      </c>
      <c r="L1394" s="104">
        <v>1000</v>
      </c>
      <c r="M1394" s="103">
        <f>K1394/L1394*1000</f>
        <v>0.75</v>
      </c>
      <c r="N1394" s="1165"/>
      <c r="O1394" s="448" t="s">
        <v>3032</v>
      </c>
    </row>
    <row r="1395" spans="9:15" ht="12.75">
      <c r="I1395" s="415" t="s">
        <v>1196</v>
      </c>
      <c r="J1395" s="151"/>
      <c r="K1395" s="430">
        <v>0.99</v>
      </c>
      <c r="L1395" s="104">
        <v>1000</v>
      </c>
      <c r="M1395" s="103">
        <f>K1395/L1395*1000</f>
        <v>0.99</v>
      </c>
      <c r="N1395" s="1165"/>
      <c r="O1395" s="448" t="s">
        <v>2877</v>
      </c>
    </row>
    <row r="1396" spans="9:15" ht="12.75">
      <c r="I1396" s="415" t="s">
        <v>2128</v>
      </c>
      <c r="J1396" s="66"/>
      <c r="K1396" s="430">
        <v>0.79</v>
      </c>
      <c r="L1396" s="104">
        <v>500</v>
      </c>
      <c r="M1396" s="103">
        <f>K1396/L1396*1000</f>
        <v>1.58</v>
      </c>
      <c r="N1396" s="1165"/>
      <c r="O1396" s="448" t="s">
        <v>2455</v>
      </c>
    </row>
    <row r="1397" spans="9:15" ht="12.75">
      <c r="I1397" s="415" t="s">
        <v>64</v>
      </c>
      <c r="J1397" s="66"/>
      <c r="K1397" s="430">
        <v>0.79</v>
      </c>
      <c r="L1397" s="104">
        <v>500</v>
      </c>
      <c r="M1397" s="103">
        <f t="shared" si="105"/>
        <v>1.58</v>
      </c>
      <c r="N1397" s="1165"/>
      <c r="O1397" s="448" t="s">
        <v>2455</v>
      </c>
    </row>
    <row r="1398" spans="9:15" ht="12.75">
      <c r="I1398" s="415" t="s">
        <v>63</v>
      </c>
      <c r="J1398" s="66"/>
      <c r="K1398" s="430">
        <v>0.55</v>
      </c>
      <c r="L1398" s="104">
        <v>500</v>
      </c>
      <c r="M1398" s="103">
        <f t="shared" si="105"/>
        <v>1.1</v>
      </c>
      <c r="N1398" s="1165" t="s">
        <v>1362</v>
      </c>
      <c r="O1398" s="448" t="s">
        <v>2455</v>
      </c>
    </row>
    <row r="1399" spans="9:15" ht="12.75">
      <c r="I1399" s="415" t="s">
        <v>63</v>
      </c>
      <c r="J1399" s="66"/>
      <c r="K1399" s="430">
        <v>0.79</v>
      </c>
      <c r="L1399" s="104">
        <v>500</v>
      </c>
      <c r="M1399" s="103">
        <f>K1399/L1399*1000</f>
        <v>1.58</v>
      </c>
      <c r="N1399" s="1165"/>
      <c r="O1399" s="716" t="s">
        <v>2455</v>
      </c>
    </row>
    <row r="1400" spans="9:15" ht="12.75">
      <c r="I1400" s="415" t="s">
        <v>95</v>
      </c>
      <c r="J1400" s="66"/>
      <c r="K1400" s="1035">
        <v>1.29</v>
      </c>
      <c r="L1400" s="1242">
        <v>500</v>
      </c>
      <c r="M1400" s="969">
        <f t="shared" si="105"/>
        <v>2.58</v>
      </c>
      <c r="N1400" s="1165"/>
      <c r="O1400" s="448" t="s">
        <v>2168</v>
      </c>
    </row>
    <row r="1401" spans="9:15" ht="12.75">
      <c r="I1401" s="415" t="s">
        <v>386</v>
      </c>
      <c r="J1401" s="151"/>
      <c r="K1401" s="1241">
        <v>0.99</v>
      </c>
      <c r="L1401" s="114">
        <v>300</v>
      </c>
      <c r="M1401" s="113">
        <f t="shared" si="105"/>
        <v>3.3</v>
      </c>
      <c r="O1401" s="24" t="s">
        <v>2337</v>
      </c>
    </row>
    <row r="1402" spans="9:15" ht="12.75">
      <c r="I1402" s="415" t="s">
        <v>2817</v>
      </c>
      <c r="J1402" s="151"/>
      <c r="K1402" s="1241">
        <v>1.59</v>
      </c>
      <c r="L1402" s="114">
        <v>500</v>
      </c>
      <c r="M1402" s="113">
        <f t="shared" si="105"/>
        <v>3.18</v>
      </c>
      <c r="O1402" s="24" t="s">
        <v>2337</v>
      </c>
    </row>
    <row r="1403" spans="9:15" ht="12.75">
      <c r="I1403" s="415" t="s">
        <v>142</v>
      </c>
      <c r="J1403" s="968"/>
      <c r="K1403" s="1241">
        <v>2.19</v>
      </c>
      <c r="L1403" s="114">
        <v>500</v>
      </c>
      <c r="M1403" s="113">
        <f t="shared" si="105"/>
        <v>4.38</v>
      </c>
      <c r="O1403" s="24" t="s">
        <v>1738</v>
      </c>
    </row>
    <row r="1404" spans="9:15" ht="12.75">
      <c r="I1404" s="59" t="s">
        <v>827</v>
      </c>
      <c r="J1404" s="151"/>
      <c r="K1404" s="58">
        <f>2.99*0.7</f>
        <v>2.093</v>
      </c>
      <c r="L1404">
        <v>750</v>
      </c>
      <c r="M1404" s="58">
        <f>K1404/L1404*1000</f>
        <v>2.7906666666666666</v>
      </c>
      <c r="N1404" s="108" t="s">
        <v>2359</v>
      </c>
      <c r="O1404" s="24" t="s">
        <v>1382</v>
      </c>
    </row>
    <row r="1405" spans="9:15" ht="12.75">
      <c r="I1405" s="40" t="s">
        <v>827</v>
      </c>
      <c r="K1405" s="5">
        <v>2.99</v>
      </c>
      <c r="L1405">
        <v>750</v>
      </c>
      <c r="M1405" s="58">
        <f>K1405/L1405*1000</f>
        <v>3.986666666666667</v>
      </c>
      <c r="O1405" s="716" t="s">
        <v>1382</v>
      </c>
    </row>
    <row r="1406" spans="2:15" ht="12.75">
      <c r="B1406" s="195">
        <v>5.9</v>
      </c>
      <c r="C1406" s="195">
        <v>39.2</v>
      </c>
      <c r="D1406" s="195">
        <v>1.7</v>
      </c>
      <c r="F1406" s="198">
        <v>862</v>
      </c>
      <c r="G1406" s="195">
        <f>B1406/F1406*1000</f>
        <v>6.844547563805104</v>
      </c>
      <c r="I1406" s="97" t="s">
        <v>1754</v>
      </c>
      <c r="J1406" s="66"/>
      <c r="K1406" s="5">
        <f>2.99*0.7</f>
        <v>2.093</v>
      </c>
      <c r="L1406">
        <v>500</v>
      </c>
      <c r="M1406" s="58">
        <f>K1406/L1406*1000</f>
        <v>4.186</v>
      </c>
      <c r="N1406" s="923"/>
      <c r="O1406" s="24" t="s">
        <v>1792</v>
      </c>
    </row>
    <row r="1407" spans="2:15" ht="12.75">
      <c r="B1407" s="195">
        <v>5.9</v>
      </c>
      <c r="C1407" s="195">
        <v>39.2</v>
      </c>
      <c r="D1407" s="195">
        <v>1.7</v>
      </c>
      <c r="F1407" s="198">
        <v>862</v>
      </c>
      <c r="G1407" s="195">
        <f>B1407/F1407*1000</f>
        <v>6.844547563805104</v>
      </c>
      <c r="I1407" s="37" t="s">
        <v>1205</v>
      </c>
      <c r="J1407" s="66"/>
      <c r="K1407" s="25">
        <v>2.99</v>
      </c>
      <c r="L1407">
        <v>500</v>
      </c>
      <c r="M1407" s="400">
        <f>K1407/L1407*1000</f>
        <v>5.98</v>
      </c>
      <c r="O1407" s="24" t="s">
        <v>1669</v>
      </c>
    </row>
    <row r="1408" spans="2:15" ht="12.75">
      <c r="B1408" s="195">
        <v>4.7</v>
      </c>
      <c r="C1408" s="195">
        <v>42.1</v>
      </c>
      <c r="D1408" s="195">
        <v>1.1</v>
      </c>
      <c r="F1408" s="389">
        <v>876</v>
      </c>
      <c r="G1408" s="390">
        <f>B1408/F1408*1000</f>
        <v>5.365296803652968</v>
      </c>
      <c r="H1408" s="390"/>
      <c r="I1408" s="40" t="s">
        <v>2682</v>
      </c>
      <c r="J1408" s="66"/>
      <c r="K1408" s="5">
        <f>2.99*0.7</f>
        <v>2.093</v>
      </c>
      <c r="L1408">
        <v>500</v>
      </c>
      <c r="M1408" s="58">
        <f>K1408/L1408*1000</f>
        <v>4.186</v>
      </c>
      <c r="N1408" s="923"/>
      <c r="O1408" s="24" t="s">
        <v>1094</v>
      </c>
    </row>
    <row r="1409" spans="9:15" ht="12.75">
      <c r="I1409" s="97" t="s">
        <v>1010</v>
      </c>
      <c r="M1409" s="58">
        <v>5.1</v>
      </c>
      <c r="N1409" s="108" t="s">
        <v>2583</v>
      </c>
      <c r="O1409" s="24" t="s">
        <v>1444</v>
      </c>
    </row>
    <row r="1410" spans="9:15" ht="12.75">
      <c r="I1410" s="97" t="s">
        <v>3064</v>
      </c>
      <c r="J1410" s="66">
        <v>5.49</v>
      </c>
      <c r="K1410" s="5">
        <f>J1410*0.99</f>
        <v>5.4351</v>
      </c>
      <c r="L1410">
        <v>1050</v>
      </c>
      <c r="M1410" s="5">
        <f>K1410/L1410*1000</f>
        <v>5.176285714285715</v>
      </c>
      <c r="O1410" s="24" t="s">
        <v>2307</v>
      </c>
    </row>
    <row r="1411" spans="2:15" ht="12.75">
      <c r="B1411" s="195">
        <v>5</v>
      </c>
      <c r="C1411" s="195">
        <v>35</v>
      </c>
      <c r="D1411" s="195">
        <v>2</v>
      </c>
      <c r="F1411" s="198">
        <v>845</v>
      </c>
      <c r="G1411" s="195">
        <f>B1411/F1411*1000</f>
        <v>5.9171597633136095</v>
      </c>
      <c r="I1411" s="6" t="s">
        <v>2358</v>
      </c>
      <c r="K1411" s="58">
        <v>1.69</v>
      </c>
      <c r="L1411">
        <v>500</v>
      </c>
      <c r="M1411" s="103">
        <f>K1411/L1411*1000</f>
        <v>3.38</v>
      </c>
      <c r="N1411" s="24"/>
      <c r="O1411" s="24" t="s">
        <v>2170</v>
      </c>
    </row>
    <row r="1412" spans="9:15" ht="12.75">
      <c r="I1412" s="109" t="s">
        <v>2248</v>
      </c>
      <c r="J1412" s="120"/>
      <c r="K1412" s="22">
        <f>1.99</f>
        <v>1.99</v>
      </c>
      <c r="L1412" s="23">
        <v>500</v>
      </c>
      <c r="M1412" s="774">
        <f>K1412/L1412*1000</f>
        <v>3.98</v>
      </c>
      <c r="N1412" s="42"/>
      <c r="O1412" s="1010" t="s">
        <v>385</v>
      </c>
    </row>
    <row r="1413" spans="9:15" ht="12.75">
      <c r="I1413" s="109" t="s">
        <v>1547</v>
      </c>
      <c r="J1413" s="120"/>
      <c r="K1413" s="22">
        <f>1.99*0.7</f>
        <v>1.393</v>
      </c>
      <c r="L1413" s="23">
        <v>500</v>
      </c>
      <c r="M1413" s="774">
        <f>K1413/L1413*1000</f>
        <v>2.786</v>
      </c>
      <c r="N1413" s="443" t="s">
        <v>2359</v>
      </c>
      <c r="O1413" s="1010" t="s">
        <v>939</v>
      </c>
    </row>
    <row r="1414" spans="9:15" ht="12.75">
      <c r="I1414" s="31" t="s">
        <v>3128</v>
      </c>
      <c r="J1414" s="151"/>
      <c r="K1414" s="5">
        <v>4</v>
      </c>
      <c r="L1414">
        <v>720</v>
      </c>
      <c r="M1414" s="5">
        <f>K1414/L1414*1000</f>
        <v>5.555555555555555</v>
      </c>
      <c r="O1414" s="24" t="s">
        <v>1295</v>
      </c>
    </row>
    <row r="1415" spans="9:13" ht="8.25" customHeight="1">
      <c r="I1415" s="785" t="s">
        <v>11</v>
      </c>
      <c r="J1415" s="5"/>
      <c r="M1415" s="32"/>
    </row>
    <row r="1416" spans="1:14" ht="18">
      <c r="A1416" s="42"/>
      <c r="B1416" s="648"/>
      <c r="C1416" s="648"/>
      <c r="D1416" s="648"/>
      <c r="E1416" s="795"/>
      <c r="F1416" s="590"/>
      <c r="G1416" s="648"/>
      <c r="I1416" s="355" t="s">
        <v>403</v>
      </c>
      <c r="J1416" s="153"/>
      <c r="N1416" s="923"/>
    </row>
    <row r="1417" spans="1:16" ht="12.75">
      <c r="A1417" s="42"/>
      <c r="B1417" s="648"/>
      <c r="C1417" s="648"/>
      <c r="D1417" s="648"/>
      <c r="E1417" s="795"/>
      <c r="F1417" s="590"/>
      <c r="G1417" s="648"/>
      <c r="H1417" s="1212"/>
      <c r="I1417" s="97" t="s">
        <v>2763</v>
      </c>
      <c r="J1417" s="773"/>
      <c r="K1417" s="41">
        <v>1.29</v>
      </c>
      <c r="L1417" s="42">
        <v>500</v>
      </c>
      <c r="M1417" s="41">
        <f>K1417/L1417*1000</f>
        <v>2.58</v>
      </c>
      <c r="N1417" s="923" t="s">
        <v>1362</v>
      </c>
      <c r="O1417" s="448" t="s">
        <v>43</v>
      </c>
      <c r="P1417" t="s">
        <v>1845</v>
      </c>
    </row>
    <row r="1418" spans="1:16" ht="12.75">
      <c r="A1418" s="42"/>
      <c r="B1418" s="648"/>
      <c r="C1418" s="648"/>
      <c r="D1418" s="648"/>
      <c r="E1418" s="795"/>
      <c r="F1418" s="590"/>
      <c r="G1418" s="648"/>
      <c r="H1418" s="1212"/>
      <c r="I1418" s="97" t="s">
        <v>2762</v>
      </c>
      <c r="J1418" s="773"/>
      <c r="K1418" s="41">
        <v>1.29</v>
      </c>
      <c r="L1418" s="42">
        <v>500</v>
      </c>
      <c r="M1418" s="41">
        <f>K1418/L1418*1000</f>
        <v>2.58</v>
      </c>
      <c r="N1418" s="923" t="s">
        <v>1362</v>
      </c>
      <c r="O1418" s="448" t="s">
        <v>43</v>
      </c>
      <c r="P1418" t="s">
        <v>1845</v>
      </c>
    </row>
    <row r="1419" spans="1:16" ht="12.75">
      <c r="A1419" s="42"/>
      <c r="B1419" s="648"/>
      <c r="C1419" s="648"/>
      <c r="D1419" s="648"/>
      <c r="E1419" s="795"/>
      <c r="F1419" s="590"/>
      <c r="G1419" s="648"/>
      <c r="H1419" s="1212"/>
      <c r="I1419" s="97" t="s">
        <v>404</v>
      </c>
      <c r="J1419" s="773"/>
      <c r="K1419" s="41">
        <v>1.19</v>
      </c>
      <c r="L1419" s="42">
        <v>500</v>
      </c>
      <c r="M1419" s="41">
        <f>K1419/L1419*1000</f>
        <v>2.38</v>
      </c>
      <c r="N1419" s="923"/>
      <c r="O1419" s="448" t="s">
        <v>1204</v>
      </c>
      <c r="P1419" t="s">
        <v>1845</v>
      </c>
    </row>
    <row r="1420" spans="1:16" ht="12.75">
      <c r="A1420" s="42"/>
      <c r="B1420" s="648"/>
      <c r="C1420" s="648"/>
      <c r="D1420" s="648"/>
      <c r="E1420" s="795"/>
      <c r="F1420" s="590"/>
      <c r="G1420" s="648"/>
      <c r="H1420" s="1212"/>
      <c r="I1420" s="40" t="s">
        <v>2376</v>
      </c>
      <c r="J1420" s="773"/>
      <c r="K1420" s="41">
        <v>1.52</v>
      </c>
      <c r="L1420" s="42">
        <v>500</v>
      </c>
      <c r="M1420" s="41">
        <f aca="true" t="shared" si="106" ref="M1420:M1425">K1420/L1420*1000</f>
        <v>3.04</v>
      </c>
      <c r="N1420" s="923"/>
      <c r="O1420" s="448" t="s">
        <v>3121</v>
      </c>
      <c r="P1420" t="s">
        <v>1845</v>
      </c>
    </row>
    <row r="1421" spans="1:16" ht="12.75">
      <c r="A1421" s="42"/>
      <c r="B1421" s="648"/>
      <c r="C1421" s="648"/>
      <c r="D1421" s="648"/>
      <c r="E1421" s="795"/>
      <c r="F1421" s="590"/>
      <c r="G1421" s="648"/>
      <c r="H1421" s="1212"/>
      <c r="I1421" s="209" t="s">
        <v>1767</v>
      </c>
      <c r="J1421" s="1381"/>
      <c r="K1421" s="44">
        <v>11.18</v>
      </c>
      <c r="L1421" s="45">
        <f>11*250</f>
        <v>2750</v>
      </c>
      <c r="M1421" s="1345">
        <f t="shared" si="106"/>
        <v>4.065454545454545</v>
      </c>
      <c r="N1421" s="923"/>
      <c r="O1421" s="716" t="s">
        <v>175</v>
      </c>
      <c r="P1421" t="s">
        <v>1845</v>
      </c>
    </row>
    <row r="1422" spans="1:16" ht="12.75">
      <c r="A1422" s="42"/>
      <c r="B1422" s="648"/>
      <c r="C1422" s="648"/>
      <c r="D1422" s="648"/>
      <c r="E1422" s="795"/>
      <c r="F1422" s="590"/>
      <c r="G1422" s="648"/>
      <c r="H1422" s="1212"/>
      <c r="I1422" s="97" t="s">
        <v>352</v>
      </c>
      <c r="J1422" s="1094"/>
      <c r="K1422" s="41">
        <v>1.39</v>
      </c>
      <c r="L1422" s="42">
        <v>500</v>
      </c>
      <c r="M1422" s="276">
        <f t="shared" si="106"/>
        <v>2.78</v>
      </c>
      <c r="N1422" s="923"/>
      <c r="O1422" s="716" t="s">
        <v>175</v>
      </c>
      <c r="P1422" t="s">
        <v>1845</v>
      </c>
    </row>
    <row r="1423" spans="1:16" ht="12.75">
      <c r="A1423" s="42"/>
      <c r="B1423" s="648">
        <v>4.4</v>
      </c>
      <c r="C1423" s="648">
        <v>36</v>
      </c>
      <c r="D1423" s="648">
        <v>1.1</v>
      </c>
      <c r="E1423" s="795"/>
      <c r="F1423" s="590">
        <v>794</v>
      </c>
      <c r="G1423" s="648">
        <f>B1423/F1423*1000</f>
        <v>5.541561712846348</v>
      </c>
      <c r="H1423" s="1212">
        <f>M1423/F1423*100000</f>
        <v>299.7481108312342</v>
      </c>
      <c r="I1423" s="97" t="s">
        <v>2225</v>
      </c>
      <c r="J1423" s="1094"/>
      <c r="K1423" s="41">
        <v>1.19</v>
      </c>
      <c r="L1423" s="42">
        <v>500</v>
      </c>
      <c r="M1423" s="276">
        <f t="shared" si="106"/>
        <v>2.38</v>
      </c>
      <c r="N1423" s="923"/>
      <c r="O1423" s="24" t="s">
        <v>175</v>
      </c>
      <c r="P1423" t="s">
        <v>1845</v>
      </c>
    </row>
    <row r="1424" spans="1:16" ht="12.75">
      <c r="A1424" s="42"/>
      <c r="B1424" s="648">
        <v>4.2</v>
      </c>
      <c r="C1424" s="648">
        <v>34.6</v>
      </c>
      <c r="D1424" s="648">
        <v>1.2</v>
      </c>
      <c r="E1424" s="795"/>
      <c r="F1424" s="590">
        <v>785</v>
      </c>
      <c r="G1424" s="648">
        <f>B1424/F1424*1000</f>
        <v>5.35031847133758</v>
      </c>
      <c r="H1424" s="1212">
        <f>M1424/F1424*100000</f>
        <v>328.66242038216564</v>
      </c>
      <c r="I1424" s="97" t="s">
        <v>2377</v>
      </c>
      <c r="J1424" s="1094"/>
      <c r="K1424" s="41">
        <v>1.29</v>
      </c>
      <c r="L1424" s="42">
        <v>500</v>
      </c>
      <c r="M1424" s="276">
        <f t="shared" si="106"/>
        <v>2.58</v>
      </c>
      <c r="N1424" s="923"/>
      <c r="O1424" s="24" t="s">
        <v>157</v>
      </c>
      <c r="P1424" t="s">
        <v>1845</v>
      </c>
    </row>
    <row r="1425" spans="1:16" ht="12.75">
      <c r="A1425" s="42"/>
      <c r="B1425" s="648">
        <v>5.3</v>
      </c>
      <c r="C1425" s="648">
        <v>34</v>
      </c>
      <c r="D1425" s="648">
        <v>3.8</v>
      </c>
      <c r="E1425" s="795"/>
      <c r="F1425" s="590">
        <v>886</v>
      </c>
      <c r="G1425" s="648">
        <f>B1425/F1425*1000</f>
        <v>5.981941309255079</v>
      </c>
      <c r="H1425" s="1212">
        <f>M1425/F1425*100000</f>
        <v>291.19638826185104</v>
      </c>
      <c r="I1425" s="97" t="s">
        <v>663</v>
      </c>
      <c r="J1425" s="1094"/>
      <c r="K1425" s="41">
        <v>1.29</v>
      </c>
      <c r="L1425" s="42">
        <v>500</v>
      </c>
      <c r="M1425" s="276">
        <f t="shared" si="106"/>
        <v>2.58</v>
      </c>
      <c r="N1425" s="923"/>
      <c r="O1425" s="24" t="s">
        <v>2434</v>
      </c>
      <c r="P1425" t="s">
        <v>1845</v>
      </c>
    </row>
    <row r="1426" spans="1:16" ht="12.75">
      <c r="A1426" s="42"/>
      <c r="B1426" s="648">
        <v>5.8</v>
      </c>
      <c r="C1426" s="648">
        <v>29.5</v>
      </c>
      <c r="D1426" s="648">
        <v>0.6</v>
      </c>
      <c r="E1426" s="795"/>
      <c r="F1426" s="590">
        <v>822</v>
      </c>
      <c r="G1426" s="648">
        <f aca="true" t="shared" si="107" ref="G1426:G1431">B1426/F1426*1000</f>
        <v>7.0559610705596105</v>
      </c>
      <c r="H1426" s="1212">
        <f>M1426/F1426*100000</f>
        <v>240.87591240875912</v>
      </c>
      <c r="I1426" s="71" t="s">
        <v>160</v>
      </c>
      <c r="J1426" s="1015"/>
      <c r="K1426" s="29">
        <v>0.99</v>
      </c>
      <c r="L1426" s="30">
        <v>500</v>
      </c>
      <c r="M1426" s="116">
        <f aca="true" t="shared" si="108" ref="M1426:M1431">K1426/L1426*1000</f>
        <v>1.98</v>
      </c>
      <c r="N1426" s="923"/>
      <c r="O1426" s="24" t="s">
        <v>2463</v>
      </c>
      <c r="P1426" t="s">
        <v>1845</v>
      </c>
    </row>
    <row r="1427" spans="1:16" ht="13.5" thickBot="1">
      <c r="A1427" s="42"/>
      <c r="B1427" s="648">
        <v>4.7</v>
      </c>
      <c r="C1427" s="648">
        <v>36.2</v>
      </c>
      <c r="D1427" s="648">
        <v>1.5</v>
      </c>
      <c r="E1427" s="795"/>
      <c r="F1427" s="590">
        <v>826</v>
      </c>
      <c r="G1427" s="648">
        <f t="shared" si="107"/>
        <v>5.690072639225182</v>
      </c>
      <c r="H1427" s="279"/>
      <c r="I1427" s="59" t="s">
        <v>633</v>
      </c>
      <c r="J1427" s="709"/>
      <c r="K1427" s="5">
        <v>1.29</v>
      </c>
      <c r="L1427">
        <v>500</v>
      </c>
      <c r="M1427" s="58">
        <f t="shared" si="108"/>
        <v>2.58</v>
      </c>
      <c r="N1427" s="923"/>
      <c r="O1427" s="24" t="s">
        <v>583</v>
      </c>
      <c r="P1427" t="s">
        <v>1845</v>
      </c>
    </row>
    <row r="1428" spans="1:16" ht="12.75">
      <c r="A1428" s="42"/>
      <c r="B1428" s="648">
        <v>4.7</v>
      </c>
      <c r="C1428" s="648">
        <v>36.2</v>
      </c>
      <c r="D1428" s="648">
        <v>1.5</v>
      </c>
      <c r="E1428" s="795"/>
      <c r="F1428" s="590">
        <v>826</v>
      </c>
      <c r="G1428" s="648">
        <f t="shared" si="107"/>
        <v>5.690072639225182</v>
      </c>
      <c r="H1428" s="279"/>
      <c r="I1428" s="71" t="s">
        <v>633</v>
      </c>
      <c r="J1428" s="1015"/>
      <c r="K1428" s="1016">
        <v>0.99</v>
      </c>
      <c r="L1428" s="30">
        <v>500</v>
      </c>
      <c r="M1428" s="116">
        <f t="shared" si="108"/>
        <v>1.98</v>
      </c>
      <c r="N1428" s="923"/>
      <c r="O1428" s="24" t="s">
        <v>1094</v>
      </c>
      <c r="P1428" t="s">
        <v>1845</v>
      </c>
    </row>
    <row r="1429" spans="2:16" ht="12.75">
      <c r="B1429" s="195">
        <v>4.7</v>
      </c>
      <c r="C1429" s="195">
        <v>36.2</v>
      </c>
      <c r="D1429" s="195">
        <v>1.5</v>
      </c>
      <c r="F1429" s="198">
        <v>826</v>
      </c>
      <c r="G1429" s="195">
        <f t="shared" si="107"/>
        <v>5.690072639225182</v>
      </c>
      <c r="I1429" s="71" t="s">
        <v>633</v>
      </c>
      <c r="J1429" s="96"/>
      <c r="K1429" s="793">
        <v>1.19</v>
      </c>
      <c r="L1429" s="30">
        <v>500</v>
      </c>
      <c r="M1429" s="116">
        <f t="shared" si="108"/>
        <v>2.38</v>
      </c>
      <c r="O1429" s="24" t="s">
        <v>1904</v>
      </c>
      <c r="P1429" t="s">
        <v>1845</v>
      </c>
    </row>
    <row r="1430" spans="2:16" ht="13.5" thickBot="1">
      <c r="B1430" s="195">
        <v>4.7</v>
      </c>
      <c r="C1430" s="195">
        <v>36.2</v>
      </c>
      <c r="D1430" s="195">
        <v>1.5</v>
      </c>
      <c r="F1430" s="198">
        <v>826</v>
      </c>
      <c r="G1430" s="195">
        <f t="shared" si="107"/>
        <v>5.690072639225182</v>
      </c>
      <c r="I1430" s="71" t="s">
        <v>633</v>
      </c>
      <c r="J1430" s="96"/>
      <c r="K1430" s="794">
        <v>0.99</v>
      </c>
      <c r="L1430" s="30">
        <v>500</v>
      </c>
      <c r="M1430" s="116">
        <f t="shared" si="108"/>
        <v>1.98</v>
      </c>
      <c r="O1430" s="24" t="s">
        <v>36</v>
      </c>
      <c r="P1430" t="s">
        <v>1845</v>
      </c>
    </row>
    <row r="1431" spans="2:16" ht="12.75">
      <c r="B1431" s="195">
        <v>6.8</v>
      </c>
      <c r="C1431" s="195">
        <v>36</v>
      </c>
      <c r="D1431" s="195">
        <v>1.2</v>
      </c>
      <c r="F1431" s="198">
        <v>860</v>
      </c>
      <c r="G1431" s="195">
        <f t="shared" si="107"/>
        <v>7.9069767441860455</v>
      </c>
      <c r="I1431" s="2" t="s">
        <v>255</v>
      </c>
      <c r="K1431" s="314">
        <v>0.99</v>
      </c>
      <c r="L1431" s="350">
        <v>400</v>
      </c>
      <c r="M1431" s="626">
        <f t="shared" si="108"/>
        <v>2.4749999999999996</v>
      </c>
      <c r="N1431" s="315"/>
      <c r="O1431" s="555" t="s">
        <v>2802</v>
      </c>
      <c r="P1431" t="s">
        <v>1845</v>
      </c>
    </row>
    <row r="1432" spans="10:13" ht="12.75" customHeight="1">
      <c r="J1432" s="5"/>
      <c r="M1432" s="32"/>
    </row>
    <row r="1433" spans="10:13" ht="12.75" customHeight="1">
      <c r="J1433" s="5"/>
      <c r="M1433" s="32"/>
    </row>
    <row r="1434" spans="1:14" ht="18">
      <c r="A1434" s="42"/>
      <c r="B1434" s="648"/>
      <c r="C1434" s="648"/>
      <c r="D1434" s="648"/>
      <c r="E1434" s="795"/>
      <c r="F1434" s="590"/>
      <c r="G1434" s="648"/>
      <c r="I1434" s="1333" t="s">
        <v>2178</v>
      </c>
      <c r="J1434" s="153"/>
      <c r="N1434" s="923"/>
    </row>
    <row r="1435" spans="2:15" ht="12.75" customHeight="1">
      <c r="B1435" s="195">
        <v>3.5</v>
      </c>
      <c r="C1435" s="195">
        <v>55.1</v>
      </c>
      <c r="D1435" s="195">
        <v>1.3</v>
      </c>
      <c r="F1435" s="198">
        <v>1111</v>
      </c>
      <c r="G1435" s="648">
        <f>B1435/F1435*1000</f>
        <v>3.1503150315031503</v>
      </c>
      <c r="H1435" s="1212">
        <f>M1435/F1435*100000</f>
        <v>1754.2754275427542</v>
      </c>
      <c r="I1435" s="97" t="s">
        <v>169</v>
      </c>
      <c r="J1435" s="61"/>
      <c r="K1435" s="41"/>
      <c r="L1435" s="42"/>
      <c r="M1435" s="41">
        <v>19.49</v>
      </c>
      <c r="N1435" s="108"/>
      <c r="O1435" s="24" t="s">
        <v>2778</v>
      </c>
    </row>
    <row r="1436" spans="9:15" ht="12.75">
      <c r="I1436" s="31" t="s">
        <v>1066</v>
      </c>
      <c r="J1436" s="66"/>
      <c r="K1436" s="5">
        <v>7.29</v>
      </c>
      <c r="L1436" s="33">
        <v>300</v>
      </c>
      <c r="M1436" s="32">
        <f>K1436/L1436*1000</f>
        <v>24.299999999999997</v>
      </c>
      <c r="O1436" s="716" t="s">
        <v>2177</v>
      </c>
    </row>
    <row r="1437" spans="2:15" s="349" customFormat="1" ht="12.75">
      <c r="B1437" s="611"/>
      <c r="C1437" s="611"/>
      <c r="D1437" s="611"/>
      <c r="E1437" s="751"/>
      <c r="F1437" s="612"/>
      <c r="G1437" s="611"/>
      <c r="H1437" s="611"/>
      <c r="I1437" s="378" t="s">
        <v>168</v>
      </c>
      <c r="J1437" s="379"/>
      <c r="K1437" s="348"/>
      <c r="M1437" s="348">
        <v>18.9</v>
      </c>
      <c r="O1437" s="448" t="s">
        <v>2177</v>
      </c>
    </row>
    <row r="1438" spans="9:15" ht="12.75" customHeight="1">
      <c r="I1438" s="1404" t="s">
        <v>368</v>
      </c>
      <c r="J1438" s="1405"/>
      <c r="K1438" s="1406"/>
      <c r="L1438" s="1407"/>
      <c r="M1438" s="1406">
        <v>7.99</v>
      </c>
      <c r="N1438" s="108"/>
      <c r="O1438" s="24" t="s">
        <v>2802</v>
      </c>
    </row>
    <row r="1439" spans="9:15" ht="12.75">
      <c r="I1439" s="1404" t="s">
        <v>369</v>
      </c>
      <c r="J1439" s="1405"/>
      <c r="K1439" s="1406">
        <v>7.29</v>
      </c>
      <c r="L1439" s="1407">
        <v>300</v>
      </c>
      <c r="M1439" s="1406">
        <f>K1439/L1439*1000</f>
        <v>24.299999999999997</v>
      </c>
      <c r="O1439" s="24" t="s">
        <v>2213</v>
      </c>
    </row>
    <row r="1440" spans="9:15" ht="12.75">
      <c r="I1440" s="1404" t="s">
        <v>1135</v>
      </c>
      <c r="J1440" s="1405">
        <v>14.6</v>
      </c>
      <c r="K1440" s="1406">
        <f>J1440*0.97</f>
        <v>14.161999999999999</v>
      </c>
      <c r="L1440" s="1407">
        <v>1000</v>
      </c>
      <c r="M1440" s="1406">
        <f>K1440/L1440*1000</f>
        <v>14.161999999999999</v>
      </c>
      <c r="O1440" s="24" t="s">
        <v>1155</v>
      </c>
    </row>
    <row r="1441" spans="9:15" ht="12.75">
      <c r="I1441" s="1408" t="s">
        <v>370</v>
      </c>
      <c r="J1441" s="1409"/>
      <c r="K1441" s="1410">
        <v>2.49</v>
      </c>
      <c r="L1441" s="1411">
        <v>500</v>
      </c>
      <c r="M1441" s="1410">
        <f>K1441/L1441*1000</f>
        <v>4.98</v>
      </c>
      <c r="N1441" s="10"/>
      <c r="O1441" s="224" t="s">
        <v>2736</v>
      </c>
    </row>
    <row r="1442" spans="9:15" ht="12.75">
      <c r="I1442" s="340" t="s">
        <v>1067</v>
      </c>
      <c r="J1442" s="602"/>
      <c r="K1442" s="98"/>
      <c r="L1442" s="640"/>
      <c r="M1442" s="98">
        <v>9.94</v>
      </c>
      <c r="N1442" s="3"/>
      <c r="O1442" s="722" t="s">
        <v>2177</v>
      </c>
    </row>
    <row r="1443" spans="2:15" s="349" customFormat="1" ht="12.75">
      <c r="B1443" s="611"/>
      <c r="C1443" s="611"/>
      <c r="D1443" s="611"/>
      <c r="E1443" s="751"/>
      <c r="F1443" s="612"/>
      <c r="G1443" s="611"/>
      <c r="H1443" s="611"/>
      <c r="I1443" s="670" t="s">
        <v>1068</v>
      </c>
      <c r="J1443" s="1401"/>
      <c r="K1443" s="1402"/>
      <c r="L1443" s="1403"/>
      <c r="M1443" s="1402">
        <v>18.9</v>
      </c>
      <c r="N1443" s="1403"/>
      <c r="O1443" s="723" t="s">
        <v>2177</v>
      </c>
    </row>
    <row r="1444" spans="9:15" ht="12.75">
      <c r="I1444" s="340" t="s">
        <v>1069</v>
      </c>
      <c r="J1444" s="602"/>
      <c r="K1444" s="98"/>
      <c r="L1444" s="640"/>
      <c r="M1444" s="98">
        <v>13.33</v>
      </c>
      <c r="N1444" s="3"/>
      <c r="O1444" s="722" t="s">
        <v>2177</v>
      </c>
    </row>
    <row r="1445" spans="9:15" ht="12.75">
      <c r="I1445" s="287"/>
      <c r="J1445" s="1400"/>
      <c r="K1445" s="73"/>
      <c r="L1445" s="285"/>
      <c r="M1445" s="73"/>
      <c r="N1445" s="3"/>
      <c r="O1445" s="50"/>
    </row>
    <row r="1446" spans="9:13" ht="12.75">
      <c r="I1446" s="6"/>
      <c r="J1446" s="55"/>
      <c r="K1446" s="16"/>
      <c r="L1446" s="7"/>
      <c r="M1446" s="16"/>
    </row>
    <row r="1447" spans="9:13" ht="18">
      <c r="I1447" s="178" t="s">
        <v>2188</v>
      </c>
      <c r="J1447" s="151"/>
      <c r="M1447" s="5"/>
    </row>
    <row r="1448" spans="2:16" s="33" customFormat="1" ht="15.75">
      <c r="B1448" s="1175"/>
      <c r="C1448" s="1175"/>
      <c r="D1448" s="1175"/>
      <c r="E1448" s="1176"/>
      <c r="F1448" s="1177"/>
      <c r="G1448" s="1175"/>
      <c r="H1448" s="1175"/>
      <c r="I1448" s="89" t="s">
        <v>796</v>
      </c>
      <c r="J1448" s="1156"/>
      <c r="K1448" s="1153">
        <f>K1449*0.75</f>
        <v>0.6675</v>
      </c>
      <c r="L1448" s="294">
        <v>460</v>
      </c>
      <c r="M1448" s="1178">
        <f>K1448/L1448*1000</f>
        <v>1.451086956521739</v>
      </c>
      <c r="N1448" s="122" t="s">
        <v>2698</v>
      </c>
      <c r="O1448" s="125" t="s">
        <v>269</v>
      </c>
      <c r="P1448" s="489" t="s">
        <v>1806</v>
      </c>
    </row>
    <row r="1449" spans="2:16" s="33" customFormat="1" ht="12.75">
      <c r="B1449" s="1175"/>
      <c r="C1449" s="1175"/>
      <c r="D1449" s="1175"/>
      <c r="E1449" s="1176"/>
      <c r="F1449" s="1177"/>
      <c r="G1449" s="1175"/>
      <c r="H1449" s="1175"/>
      <c r="I1449" s="6" t="s">
        <v>796</v>
      </c>
      <c r="J1449" s="55"/>
      <c r="K1449" s="16">
        <v>0.89</v>
      </c>
      <c r="L1449" s="7">
        <v>460</v>
      </c>
      <c r="M1449" s="16">
        <f>K1449/L1449*1000</f>
        <v>1.934782608695652</v>
      </c>
      <c r="N1449" s="26"/>
      <c r="O1449" s="51" t="s">
        <v>269</v>
      </c>
      <c r="P1449" s="489" t="s">
        <v>1806</v>
      </c>
    </row>
    <row r="1450" spans="9:15" ht="12.75">
      <c r="I1450" s="1155" t="s">
        <v>17</v>
      </c>
      <c r="J1450" s="55"/>
      <c r="K1450" s="16">
        <v>0.49</v>
      </c>
      <c r="L1450" s="7">
        <v>170</v>
      </c>
      <c r="M1450" s="16">
        <f aca="true" t="shared" si="109" ref="M1450:M1465">K1450/L1450*1000</f>
        <v>2.8823529411764706</v>
      </c>
      <c r="N1450" s="108"/>
      <c r="O1450" s="448" t="s">
        <v>18</v>
      </c>
    </row>
    <row r="1451" spans="9:15" ht="12.75">
      <c r="I1451" s="37" t="s">
        <v>1189</v>
      </c>
      <c r="J1451" s="38"/>
      <c r="K1451" s="25">
        <v>1.69</v>
      </c>
      <c r="L1451" s="26">
        <v>350</v>
      </c>
      <c r="M1451" s="25">
        <f t="shared" si="109"/>
        <v>4.828571428571428</v>
      </c>
      <c r="N1451" s="108"/>
      <c r="O1451" s="448" t="s">
        <v>269</v>
      </c>
    </row>
    <row r="1452" spans="9:15" ht="12.75">
      <c r="I1452" s="1173" t="s">
        <v>1188</v>
      </c>
      <c r="J1452" s="55"/>
      <c r="K1452" s="16">
        <v>0.99</v>
      </c>
      <c r="L1452" s="7">
        <v>630</v>
      </c>
      <c r="M1452" s="129">
        <f t="shared" si="109"/>
        <v>1.5714285714285714</v>
      </c>
      <c r="N1452" s="99"/>
      <c r="O1452" s="448" t="s">
        <v>269</v>
      </c>
    </row>
    <row r="1453" spans="9:15" ht="15.75">
      <c r="I1453" s="1172" t="s">
        <v>1190</v>
      </c>
      <c r="J1453" s="1156"/>
      <c r="K1453" s="1154">
        <v>0.99</v>
      </c>
      <c r="L1453" s="292">
        <v>615</v>
      </c>
      <c r="M1453" s="1154">
        <f>K1453/L1453*1000</f>
        <v>1.6097560975609755</v>
      </c>
      <c r="N1453" s="99"/>
      <c r="O1453" s="448" t="s">
        <v>269</v>
      </c>
    </row>
    <row r="1454" spans="9:15" ht="15.75">
      <c r="I1454" s="89" t="s">
        <v>1192</v>
      </c>
      <c r="J1454" s="1156"/>
      <c r="K1454" s="1154">
        <v>0.69</v>
      </c>
      <c r="L1454" s="292">
        <v>420</v>
      </c>
      <c r="M1454" s="1154">
        <f>K1454/L1454*1000</f>
        <v>1.6428571428571428</v>
      </c>
      <c r="N1454" s="99"/>
      <c r="O1454" s="448" t="s">
        <v>269</v>
      </c>
    </row>
    <row r="1455" spans="9:15" ht="15.75">
      <c r="I1455" s="89" t="s">
        <v>1191</v>
      </c>
      <c r="J1455" s="1156"/>
      <c r="K1455" s="1153">
        <v>0.69</v>
      </c>
      <c r="L1455" s="294">
        <v>300</v>
      </c>
      <c r="M1455" s="1154">
        <f t="shared" si="109"/>
        <v>2.3</v>
      </c>
      <c r="N1455" s="99"/>
      <c r="O1455" s="448" t="s">
        <v>269</v>
      </c>
    </row>
    <row r="1456" spans="9:15" ht="12.75">
      <c r="I1456" s="15" t="s">
        <v>1465</v>
      </c>
      <c r="J1456" s="55"/>
      <c r="K1456" s="16">
        <f>K1458*0.7</f>
        <v>0.693</v>
      </c>
      <c r="L1456" s="7">
        <v>275</v>
      </c>
      <c r="M1456" s="129">
        <f t="shared" si="109"/>
        <v>2.5199999999999996</v>
      </c>
      <c r="N1456" s="108"/>
      <c r="O1456" s="448" t="s">
        <v>1199</v>
      </c>
    </row>
    <row r="1457" spans="9:15" ht="12.75">
      <c r="I1457" s="37" t="s">
        <v>1860</v>
      </c>
      <c r="J1457" s="38"/>
      <c r="K1457" s="25">
        <v>0.79</v>
      </c>
      <c r="L1457" s="26">
        <v>260</v>
      </c>
      <c r="M1457" s="25">
        <f t="shared" si="109"/>
        <v>3.0384615384615383</v>
      </c>
      <c r="N1457" s="108"/>
      <c r="O1457" s="448" t="s">
        <v>1199</v>
      </c>
    </row>
    <row r="1458" spans="9:15" ht="12.75">
      <c r="I1458" s="86" t="s">
        <v>301</v>
      </c>
      <c r="J1458" s="282"/>
      <c r="K1458" s="490">
        <v>0.99</v>
      </c>
      <c r="L1458" s="99">
        <v>250</v>
      </c>
      <c r="M1458" s="490">
        <f t="shared" si="109"/>
        <v>3.96</v>
      </c>
      <c r="N1458" s="108"/>
      <c r="O1458" s="448" t="s">
        <v>269</v>
      </c>
    </row>
    <row r="1459" spans="9:15" ht="12.75">
      <c r="I1459" s="15" t="s">
        <v>2040</v>
      </c>
      <c r="J1459" s="55"/>
      <c r="K1459" s="16">
        <v>1.29</v>
      </c>
      <c r="L1459" s="7">
        <v>500</v>
      </c>
      <c r="M1459" s="129">
        <f t="shared" si="109"/>
        <v>2.58</v>
      </c>
      <c r="N1459" s="108"/>
      <c r="O1459" s="448" t="s">
        <v>1199</v>
      </c>
    </row>
    <row r="1460" spans="9:16" ht="15.75">
      <c r="I1460" s="263" t="s">
        <v>2324</v>
      </c>
      <c r="J1460" s="1243"/>
      <c r="K1460" s="1244">
        <v>1.39</v>
      </c>
      <c r="L1460" s="1245">
        <v>800</v>
      </c>
      <c r="M1460" s="1154">
        <f>K1460/L1460*1000</f>
        <v>1.7374999999999998</v>
      </c>
      <c r="N1460" s="1205" t="s">
        <v>1362</v>
      </c>
      <c r="O1460" s="448" t="s">
        <v>890</v>
      </c>
      <c r="P1460" s="489"/>
    </row>
    <row r="1461" spans="9:16" ht="15.75">
      <c r="I1461" s="89" t="s">
        <v>2324</v>
      </c>
      <c r="J1461" s="1156"/>
      <c r="K1461" s="1153">
        <v>1.99</v>
      </c>
      <c r="L1461" s="294">
        <v>810</v>
      </c>
      <c r="M1461" s="1154">
        <f t="shared" si="109"/>
        <v>2.4567901234567904</v>
      </c>
      <c r="N1461" s="1150"/>
      <c r="O1461" s="448" t="s">
        <v>2168</v>
      </c>
      <c r="P1461" s="489"/>
    </row>
    <row r="1462" spans="9:16" ht="15.75">
      <c r="I1462" s="89" t="s">
        <v>2324</v>
      </c>
      <c r="J1462" s="1156"/>
      <c r="K1462" s="1153">
        <v>1.99</v>
      </c>
      <c r="L1462" s="294">
        <v>750</v>
      </c>
      <c r="M1462" s="1179">
        <f>K1462/L1462*1000</f>
        <v>2.6533333333333333</v>
      </c>
      <c r="N1462" s="1150"/>
      <c r="O1462" s="448" t="s">
        <v>1199</v>
      </c>
      <c r="P1462" s="489" t="s">
        <v>3115</v>
      </c>
    </row>
    <row r="1463" spans="9:15" ht="15.75">
      <c r="I1463" s="6" t="s">
        <v>2512</v>
      </c>
      <c r="J1463" s="55"/>
      <c r="K1463" s="16">
        <v>0.99</v>
      </c>
      <c r="L1463" s="7">
        <v>333</v>
      </c>
      <c r="M1463" s="16">
        <f t="shared" si="109"/>
        <v>2.972972972972973</v>
      </c>
      <c r="N1463" s="1150"/>
      <c r="O1463" s="448" t="s">
        <v>18</v>
      </c>
    </row>
    <row r="1464" spans="9:15" ht="12.75">
      <c r="I1464" s="97" t="s">
        <v>1936</v>
      </c>
      <c r="K1464" s="5">
        <f>K1465*0.75</f>
        <v>1.8675000000000002</v>
      </c>
      <c r="L1464" s="447">
        <v>500</v>
      </c>
      <c r="M1464" s="276">
        <f t="shared" si="109"/>
        <v>3.7350000000000003</v>
      </c>
      <c r="N1464" s="108" t="s">
        <v>2698</v>
      </c>
      <c r="O1464" s="448" t="s">
        <v>1223</v>
      </c>
    </row>
    <row r="1465" spans="9:15" ht="12.75">
      <c r="I1465" s="97" t="s">
        <v>426</v>
      </c>
      <c r="K1465" s="5">
        <v>2.49</v>
      </c>
      <c r="L1465" s="447">
        <v>500</v>
      </c>
      <c r="M1465" s="276">
        <f t="shared" si="109"/>
        <v>4.98</v>
      </c>
      <c r="N1465" s="108"/>
      <c r="O1465" s="716" t="s">
        <v>1223</v>
      </c>
    </row>
    <row r="1466" spans="9:15" ht="12.75">
      <c r="I1466" s="97" t="s">
        <v>2227</v>
      </c>
      <c r="K1466" s="5">
        <f>K1467*0.75</f>
        <v>2.2425</v>
      </c>
      <c r="L1466" s="447">
        <v>750</v>
      </c>
      <c r="M1466" s="276">
        <f aca="true" t="shared" si="110" ref="M1466:M1472">K1466/L1466*1000</f>
        <v>2.99</v>
      </c>
      <c r="N1466" s="108" t="s">
        <v>2698</v>
      </c>
      <c r="O1466" s="24" t="s">
        <v>2256</v>
      </c>
    </row>
    <row r="1467" spans="9:15" ht="12.75">
      <c r="I1467" s="97" t="s">
        <v>958</v>
      </c>
      <c r="K1467" s="5">
        <v>2.99</v>
      </c>
      <c r="L1467" s="447">
        <v>750</v>
      </c>
      <c r="M1467" s="276">
        <f t="shared" si="110"/>
        <v>3.986666666666667</v>
      </c>
      <c r="N1467" s="108"/>
      <c r="O1467" s="24" t="s">
        <v>2256</v>
      </c>
    </row>
    <row r="1468" spans="9:15" ht="12.75">
      <c r="I1468" s="109" t="s">
        <v>98</v>
      </c>
      <c r="J1468" s="120"/>
      <c r="K1468" s="22">
        <f>1.99*0.75</f>
        <v>1.4925</v>
      </c>
      <c r="L1468" s="23">
        <v>500</v>
      </c>
      <c r="M1468" s="774">
        <f t="shared" si="110"/>
        <v>2.985</v>
      </c>
      <c r="N1468" s="108" t="s">
        <v>2698</v>
      </c>
      <c r="O1468" s="24" t="s">
        <v>2256</v>
      </c>
    </row>
    <row r="1469" spans="9:15" ht="12.75">
      <c r="I1469" s="109" t="s">
        <v>22</v>
      </c>
      <c r="J1469" s="120"/>
      <c r="K1469" s="22">
        <v>1.99</v>
      </c>
      <c r="L1469" s="23">
        <v>500</v>
      </c>
      <c r="M1469" s="774">
        <f t="shared" si="110"/>
        <v>3.98</v>
      </c>
      <c r="N1469" s="99" t="s">
        <v>345</v>
      </c>
      <c r="O1469" s="1149" t="s">
        <v>1199</v>
      </c>
    </row>
    <row r="1470" spans="9:15" ht="12.75">
      <c r="I1470" s="109" t="s">
        <v>414</v>
      </c>
      <c r="J1470" s="120"/>
      <c r="K1470" s="22">
        <f>2.69*0.75</f>
        <v>2.0175</v>
      </c>
      <c r="L1470" s="23">
        <v>500</v>
      </c>
      <c r="M1470" s="774">
        <f t="shared" si="110"/>
        <v>4.035</v>
      </c>
      <c r="N1470" s="108" t="s">
        <v>2698</v>
      </c>
      <c r="O1470" s="24" t="s">
        <v>2337</v>
      </c>
    </row>
    <row r="1471" spans="9:15" ht="12.75">
      <c r="I1471" s="109" t="s">
        <v>999</v>
      </c>
      <c r="J1471" s="120"/>
      <c r="K1471" s="22">
        <v>2.69</v>
      </c>
      <c r="L1471" s="23">
        <v>500</v>
      </c>
      <c r="M1471" s="774">
        <f t="shared" si="110"/>
        <v>5.38</v>
      </c>
      <c r="N1471" s="99" t="s">
        <v>345</v>
      </c>
      <c r="O1471" s="1149" t="s">
        <v>1199</v>
      </c>
    </row>
    <row r="1472" spans="2:15" ht="12.75">
      <c r="B1472" s="195">
        <v>7.9</v>
      </c>
      <c r="C1472" s="195">
        <v>44.2</v>
      </c>
      <c r="D1472" s="195">
        <v>2</v>
      </c>
      <c r="F1472" s="198">
        <v>987</v>
      </c>
      <c r="G1472" s="195">
        <f>B1472/F1472*1000</f>
        <v>8.00405268490375</v>
      </c>
      <c r="I1472" s="109" t="s">
        <v>1713</v>
      </c>
      <c r="J1472" s="120"/>
      <c r="K1472" s="22">
        <v>1.29</v>
      </c>
      <c r="L1472" s="23">
        <v>500</v>
      </c>
      <c r="M1472" s="774">
        <f t="shared" si="110"/>
        <v>2.58</v>
      </c>
      <c r="N1472" s="423" t="s">
        <v>1714</v>
      </c>
      <c r="O1472" s="24" t="s">
        <v>2584</v>
      </c>
    </row>
    <row r="1473" spans="2:15" ht="12.75">
      <c r="B1473" s="195">
        <v>7.9</v>
      </c>
      <c r="C1473" s="195">
        <v>44.2</v>
      </c>
      <c r="D1473" s="195">
        <v>2</v>
      </c>
      <c r="F1473" s="198">
        <v>987</v>
      </c>
      <c r="G1473" s="195">
        <f>B1473/F1473*1000</f>
        <v>8.00405268490375</v>
      </c>
      <c r="I1473" s="97" t="s">
        <v>1713</v>
      </c>
      <c r="K1473" s="5">
        <f>2.59*0.7</f>
        <v>1.8129999999999997</v>
      </c>
      <c r="L1473">
        <v>500</v>
      </c>
      <c r="M1473" s="276">
        <f aca="true" t="shared" si="111" ref="M1473:M1479">K1473/L1473*1000</f>
        <v>3.6259999999999994</v>
      </c>
      <c r="N1473" s="108" t="s">
        <v>2359</v>
      </c>
      <c r="O1473" s="24" t="s">
        <v>433</v>
      </c>
    </row>
    <row r="1474" spans="2:15" ht="12.75">
      <c r="B1474" s="195">
        <v>7.9</v>
      </c>
      <c r="C1474" s="195">
        <v>44.2</v>
      </c>
      <c r="D1474" s="195">
        <v>2</v>
      </c>
      <c r="F1474" s="198">
        <v>987</v>
      </c>
      <c r="G1474" s="195">
        <f>B1474/F1474*1000</f>
        <v>8.00405268490375</v>
      </c>
      <c r="H1474" s="1212">
        <f>M1474/F1474*100000</f>
        <v>524.822695035461</v>
      </c>
      <c r="I1474" s="97" t="s">
        <v>1713</v>
      </c>
      <c r="K1474" s="5">
        <v>2.59</v>
      </c>
      <c r="L1474">
        <v>500</v>
      </c>
      <c r="M1474" s="809">
        <f>K1474/L1474*1000</f>
        <v>5.18</v>
      </c>
      <c r="N1474" s="108"/>
      <c r="O1474" s="24" t="s">
        <v>161</v>
      </c>
    </row>
    <row r="1475" spans="2:15" ht="12.75">
      <c r="B1475" s="195">
        <v>7.9</v>
      </c>
      <c r="C1475" s="195">
        <v>44.2</v>
      </c>
      <c r="D1475" s="195">
        <v>2</v>
      </c>
      <c r="F1475" s="198">
        <v>987</v>
      </c>
      <c r="G1475" s="195">
        <f>B1475/F1475*1000</f>
        <v>8.00405268490375</v>
      </c>
      <c r="I1475" s="56" t="s">
        <v>2893</v>
      </c>
      <c r="K1475" s="5">
        <v>2.59</v>
      </c>
      <c r="L1475">
        <v>500</v>
      </c>
      <c r="M1475" s="809">
        <f t="shared" si="111"/>
        <v>5.18</v>
      </c>
      <c r="N1475" s="108"/>
      <c r="O1475" s="716" t="s">
        <v>1094</v>
      </c>
    </row>
    <row r="1476" spans="9:15" ht="12.75">
      <c r="I1476" s="2" t="s">
        <v>2429</v>
      </c>
      <c r="J1476" s="4">
        <v>3.6</v>
      </c>
      <c r="K1476" s="5">
        <f>J1476*0.97</f>
        <v>3.492</v>
      </c>
      <c r="L1476">
        <v>555</v>
      </c>
      <c r="M1476" s="5">
        <f t="shared" si="111"/>
        <v>6.291891891891892</v>
      </c>
      <c r="O1476" s="24" t="s">
        <v>2584</v>
      </c>
    </row>
    <row r="1477" spans="9:15" ht="12.75">
      <c r="I1477" s="43" t="s">
        <v>471</v>
      </c>
      <c r="J1477" s="930">
        <v>4.8</v>
      </c>
      <c r="K1477" s="5">
        <f>J1477*0.97</f>
        <v>4.656</v>
      </c>
      <c r="L1477">
        <v>555</v>
      </c>
      <c r="M1477" s="5">
        <f t="shared" si="111"/>
        <v>8.389189189189189</v>
      </c>
      <c r="O1477" s="24" t="s">
        <v>2170</v>
      </c>
    </row>
    <row r="1478" spans="9:15" ht="12.75">
      <c r="I1478" s="43" t="s">
        <v>1477</v>
      </c>
      <c r="J1478" s="930">
        <v>4.8</v>
      </c>
      <c r="K1478" s="5">
        <f>J1478*0.97</f>
        <v>4.656</v>
      </c>
      <c r="L1478">
        <v>555</v>
      </c>
      <c r="M1478" s="5">
        <f t="shared" si="111"/>
        <v>8.389189189189189</v>
      </c>
      <c r="O1478" s="24" t="s">
        <v>2170</v>
      </c>
    </row>
    <row r="1479" spans="2:15" ht="12.75">
      <c r="B1479" s="195">
        <v>10.3</v>
      </c>
      <c r="C1479" s="195">
        <v>56.2</v>
      </c>
      <c r="D1479" s="195">
        <v>2.7</v>
      </c>
      <c r="F1479" s="198">
        <v>1255</v>
      </c>
      <c r="G1479" s="195">
        <f>B1479/F1479*1000</f>
        <v>8.207171314741036</v>
      </c>
      <c r="I1479" s="56" t="s">
        <v>1563</v>
      </c>
      <c r="J1479" s="930"/>
      <c r="K1479" s="5">
        <v>1.04</v>
      </c>
      <c r="L1479">
        <v>210</v>
      </c>
      <c r="M1479" s="5">
        <f t="shared" si="111"/>
        <v>4.9523809523809526</v>
      </c>
      <c r="O1479" s="24" t="s">
        <v>2584</v>
      </c>
    </row>
    <row r="1480" spans="9:15" ht="12.75">
      <c r="I1480" s="56" t="s">
        <v>1056</v>
      </c>
      <c r="J1480" s="61"/>
      <c r="K1480" s="41"/>
      <c r="L1480" s="42"/>
      <c r="M1480" s="41"/>
      <c r="N1480" s="443"/>
      <c r="O1480" s="24" t="s">
        <v>2170</v>
      </c>
    </row>
    <row r="1481" spans="9:15" ht="12.75">
      <c r="I1481" s="2" t="s">
        <v>1478</v>
      </c>
      <c r="K1481" s="5">
        <v>1.99</v>
      </c>
      <c r="L1481">
        <v>300</v>
      </c>
      <c r="M1481" s="5">
        <f aca="true" t="shared" si="112" ref="M1481:M1496">K1481/L1481*1000</f>
        <v>6.633333333333333</v>
      </c>
      <c r="N1481" t="s">
        <v>171</v>
      </c>
      <c r="O1481" s="24" t="s">
        <v>2570</v>
      </c>
    </row>
    <row r="1482" spans="9:15" ht="12.75">
      <c r="I1482" s="40" t="s">
        <v>19</v>
      </c>
      <c r="J1482" s="61"/>
      <c r="K1482" s="41">
        <v>1.69</v>
      </c>
      <c r="L1482" s="42">
        <v>240</v>
      </c>
      <c r="M1482" s="41">
        <f t="shared" si="112"/>
        <v>7.041666666666667</v>
      </c>
      <c r="N1482" s="443" t="s">
        <v>702</v>
      </c>
      <c r="O1482" s="24" t="s">
        <v>1246</v>
      </c>
    </row>
    <row r="1483" spans="9:15" ht="12.75">
      <c r="I1483" s="56" t="s">
        <v>1743</v>
      </c>
      <c r="J1483" s="61"/>
      <c r="K1483" s="41">
        <v>2.19</v>
      </c>
      <c r="L1483" s="42">
        <v>320</v>
      </c>
      <c r="M1483" s="41">
        <f>K1483/L1483*1000</f>
        <v>6.84375</v>
      </c>
      <c r="N1483" s="443"/>
      <c r="O1483" s="24" t="s">
        <v>1607</v>
      </c>
    </row>
    <row r="1484" spans="9:15" ht="12.75">
      <c r="I1484" s="71" t="s">
        <v>1743</v>
      </c>
      <c r="J1484" s="96"/>
      <c r="K1484" s="29">
        <v>1.97</v>
      </c>
      <c r="L1484" s="30">
        <v>320</v>
      </c>
      <c r="M1484" s="29">
        <f t="shared" si="112"/>
        <v>6.15625</v>
      </c>
      <c r="N1484" s="443"/>
      <c r="O1484" s="24" t="s">
        <v>1663</v>
      </c>
    </row>
    <row r="1485" spans="2:15" ht="12.75">
      <c r="B1485" s="195">
        <v>9.5</v>
      </c>
      <c r="C1485" s="195">
        <v>47.8</v>
      </c>
      <c r="D1485" s="195">
        <v>2.9</v>
      </c>
      <c r="F1485" s="198">
        <v>1117</v>
      </c>
      <c r="G1485" s="195">
        <f>B1485/F1485*1000</f>
        <v>8.504923903312443</v>
      </c>
      <c r="H1485" s="1212">
        <f>M1485/F1485*100000</f>
        <v>518.5019397194866</v>
      </c>
      <c r="I1485" s="97" t="s">
        <v>684</v>
      </c>
      <c r="J1485" s="61"/>
      <c r="K1485" s="41">
        <v>1.39</v>
      </c>
      <c r="L1485" s="42">
        <v>240</v>
      </c>
      <c r="M1485" s="58">
        <f t="shared" si="112"/>
        <v>5.791666666666666</v>
      </c>
      <c r="N1485" s="443"/>
      <c r="O1485" s="24" t="s">
        <v>1669</v>
      </c>
    </row>
    <row r="1486" spans="2:15" ht="12.75">
      <c r="B1486" s="195">
        <v>9.9</v>
      </c>
      <c r="C1486" s="195">
        <v>42.5</v>
      </c>
      <c r="D1486" s="195">
        <v>7.4</v>
      </c>
      <c r="F1486" s="198">
        <v>1218</v>
      </c>
      <c r="G1486" s="195">
        <f aca="true" t="shared" si="113" ref="G1486:G1493">B1486/F1486*1000</f>
        <v>8.128078817733991</v>
      </c>
      <c r="I1486" s="97" t="s">
        <v>502</v>
      </c>
      <c r="J1486" s="61"/>
      <c r="K1486" s="41">
        <v>1.42</v>
      </c>
      <c r="L1486" s="42">
        <v>270</v>
      </c>
      <c r="M1486" s="58">
        <f aca="true" t="shared" si="114" ref="M1486:M1491">K1486/L1486*1000</f>
        <v>5.259259259259259</v>
      </c>
      <c r="N1486" s="443"/>
      <c r="O1486" s="24" t="s">
        <v>3065</v>
      </c>
    </row>
    <row r="1487" spans="2:15" ht="12.75">
      <c r="B1487" s="195">
        <v>9.9</v>
      </c>
      <c r="C1487" s="195">
        <v>42.5</v>
      </c>
      <c r="D1487" s="195">
        <v>7.4</v>
      </c>
      <c r="F1487" s="198">
        <v>1218</v>
      </c>
      <c r="G1487" s="195">
        <f t="shared" si="113"/>
        <v>8.128078817733991</v>
      </c>
      <c r="I1487" s="97" t="s">
        <v>2740</v>
      </c>
      <c r="J1487" s="61"/>
      <c r="K1487" s="41">
        <v>1.99</v>
      </c>
      <c r="L1487" s="42">
        <v>270</v>
      </c>
      <c r="M1487" s="32">
        <f t="shared" si="114"/>
        <v>7.37037037037037</v>
      </c>
      <c r="N1487" s="443"/>
      <c r="O1487" s="24" t="s">
        <v>337</v>
      </c>
    </row>
    <row r="1488" spans="2:15" ht="12.75">
      <c r="B1488" s="195">
        <v>9.5</v>
      </c>
      <c r="C1488" s="195">
        <v>48.3</v>
      </c>
      <c r="D1488" s="195">
        <v>3</v>
      </c>
      <c r="F1488" s="198">
        <v>1128</v>
      </c>
      <c r="G1488" s="195">
        <f>B1488/F1488*1000</f>
        <v>8.421985815602836</v>
      </c>
      <c r="I1488" s="2" t="s">
        <v>1100</v>
      </c>
      <c r="J1488" s="604"/>
      <c r="K1488" s="5">
        <v>1.89</v>
      </c>
      <c r="L1488" s="470">
        <v>240</v>
      </c>
      <c r="M1488" s="32">
        <f t="shared" si="114"/>
        <v>7.875</v>
      </c>
      <c r="O1488" s="24" t="s">
        <v>2307</v>
      </c>
    </row>
    <row r="1489" spans="2:15" ht="12.75">
      <c r="B1489" s="195">
        <v>9.5</v>
      </c>
      <c r="C1489" s="195">
        <v>48.3</v>
      </c>
      <c r="D1489" s="195">
        <v>3</v>
      </c>
      <c r="F1489" s="198">
        <v>1128</v>
      </c>
      <c r="G1489" s="195">
        <f t="shared" si="113"/>
        <v>8.421985815602836</v>
      </c>
      <c r="I1489" s="71" t="s">
        <v>1100</v>
      </c>
      <c r="J1489" s="158"/>
      <c r="K1489" s="29">
        <v>1.79</v>
      </c>
      <c r="L1489" s="30">
        <v>240</v>
      </c>
      <c r="M1489" s="29">
        <f t="shared" si="114"/>
        <v>7.458333333333333</v>
      </c>
      <c r="O1489" s="24" t="s">
        <v>36</v>
      </c>
    </row>
    <row r="1490" spans="2:15" ht="12.75">
      <c r="B1490" s="195">
        <v>9.3</v>
      </c>
      <c r="C1490" s="195">
        <v>48.1</v>
      </c>
      <c r="D1490" s="195">
        <v>3.3</v>
      </c>
      <c r="F1490" s="198">
        <v>1132</v>
      </c>
      <c r="G1490" s="195">
        <f t="shared" si="113"/>
        <v>8.215547703180212</v>
      </c>
      <c r="I1490" s="2" t="s">
        <v>1922</v>
      </c>
      <c r="J1490" s="604"/>
      <c r="K1490" s="605">
        <f>1.69*(1-0.3)</f>
        <v>1.1829999999999998</v>
      </c>
      <c r="L1490" s="470">
        <v>240</v>
      </c>
      <c r="M1490" s="58">
        <f t="shared" si="114"/>
        <v>4.929166666666666</v>
      </c>
      <c r="O1490" s="24" t="s">
        <v>1226</v>
      </c>
    </row>
    <row r="1491" spans="2:15" ht="12.75">
      <c r="B1491" s="195">
        <v>9.3</v>
      </c>
      <c r="C1491" s="195">
        <v>48.1</v>
      </c>
      <c r="D1491" s="195">
        <v>3.3</v>
      </c>
      <c r="F1491" s="198">
        <v>1132</v>
      </c>
      <c r="G1491" s="195">
        <f>B1491/F1491*1000</f>
        <v>8.215547703180212</v>
      </c>
      <c r="I1491" s="2" t="s">
        <v>2369</v>
      </c>
      <c r="J1491" s="604"/>
      <c r="K1491" s="5">
        <v>1.89</v>
      </c>
      <c r="L1491" s="470">
        <v>240</v>
      </c>
      <c r="M1491" s="605">
        <f t="shared" si="114"/>
        <v>7.875</v>
      </c>
      <c r="O1491" s="24" t="s">
        <v>662</v>
      </c>
    </row>
    <row r="1492" spans="2:15" ht="12.75">
      <c r="B1492" s="195">
        <v>9.3</v>
      </c>
      <c r="C1492" s="195">
        <v>48.1</v>
      </c>
      <c r="D1492" s="195">
        <v>3.3</v>
      </c>
      <c r="F1492" s="198">
        <v>1132</v>
      </c>
      <c r="G1492" s="195">
        <f t="shared" si="113"/>
        <v>8.215547703180212</v>
      </c>
      <c r="I1492" s="71" t="s">
        <v>2369</v>
      </c>
      <c r="J1492" s="158"/>
      <c r="K1492" s="29">
        <v>1.79</v>
      </c>
      <c r="L1492" s="30">
        <v>240</v>
      </c>
      <c r="M1492" s="29">
        <f t="shared" si="112"/>
        <v>7.458333333333333</v>
      </c>
      <c r="O1492" s="24" t="s">
        <v>662</v>
      </c>
    </row>
    <row r="1493" spans="2:15" ht="12.75">
      <c r="B1493" s="195">
        <v>9.5</v>
      </c>
      <c r="C1493" s="195">
        <v>47.8</v>
      </c>
      <c r="D1493" s="195">
        <v>2.9</v>
      </c>
      <c r="F1493" s="198">
        <v>1117</v>
      </c>
      <c r="G1493" s="195">
        <f t="shared" si="113"/>
        <v>8.504923903312443</v>
      </c>
      <c r="I1493" s="2" t="s">
        <v>1745</v>
      </c>
      <c r="J1493" s="151"/>
      <c r="K1493" s="504">
        <v>1.79</v>
      </c>
      <c r="L1493">
        <v>240</v>
      </c>
      <c r="M1493" s="5">
        <f t="shared" si="112"/>
        <v>7.458333333333333</v>
      </c>
      <c r="O1493" s="24" t="s">
        <v>36</v>
      </c>
    </row>
    <row r="1494" spans="9:15" ht="12.75">
      <c r="I1494" s="322" t="s">
        <v>529</v>
      </c>
      <c r="J1494" s="786"/>
      <c r="K1494" s="321">
        <v>1.89</v>
      </c>
      <c r="L1494" s="447">
        <v>240</v>
      </c>
      <c r="M1494" s="321">
        <f>K1494/L1494*1000</f>
        <v>7.875</v>
      </c>
      <c r="O1494" s="24" t="s">
        <v>2488</v>
      </c>
    </row>
    <row r="1495" spans="9:15" ht="12.75">
      <c r="I1495" s="313" t="s">
        <v>529</v>
      </c>
      <c r="J1495" s="550"/>
      <c r="K1495" s="314">
        <v>1.49</v>
      </c>
      <c r="L1495" s="315">
        <v>240</v>
      </c>
      <c r="M1495" s="314">
        <f t="shared" si="112"/>
        <v>6.208333333333333</v>
      </c>
      <c r="O1495" s="24" t="s">
        <v>1930</v>
      </c>
    </row>
    <row r="1496" spans="9:15" ht="12.75">
      <c r="I1496" s="313" t="s">
        <v>2676</v>
      </c>
      <c r="J1496" s="550"/>
      <c r="K1496" s="314">
        <v>1.49</v>
      </c>
      <c r="L1496" s="315">
        <v>240</v>
      </c>
      <c r="M1496" s="314">
        <f t="shared" si="112"/>
        <v>6.208333333333333</v>
      </c>
      <c r="O1496" s="24" t="s">
        <v>1930</v>
      </c>
    </row>
    <row r="1497" spans="2:15" ht="12.75">
      <c r="B1497" s="195">
        <v>10.2</v>
      </c>
      <c r="C1497" s="195">
        <v>42.5</v>
      </c>
      <c r="D1497" s="195">
        <v>4.5</v>
      </c>
      <c r="F1497" s="198">
        <v>1122</v>
      </c>
      <c r="G1497" s="502">
        <f aca="true" t="shared" si="115" ref="G1497:G1503">B1497/F1497*1000</f>
        <v>9.09090909090909</v>
      </c>
      <c r="H1497" s="502"/>
      <c r="I1497" s="2" t="s">
        <v>2830</v>
      </c>
      <c r="J1497" s="151"/>
      <c r="K1497" s="58">
        <v>0.79</v>
      </c>
      <c r="L1497" s="39">
        <v>240</v>
      </c>
      <c r="M1497" s="58">
        <f aca="true" t="shared" si="116" ref="M1497:M1503">K1497/L1497*1000</f>
        <v>3.2916666666666665</v>
      </c>
      <c r="N1497" s="39" t="s">
        <v>1722</v>
      </c>
      <c r="O1497" s="24" t="s">
        <v>1663</v>
      </c>
    </row>
    <row r="1498" spans="2:15" ht="12.75">
      <c r="B1498" s="195">
        <v>7.9</v>
      </c>
      <c r="C1498" s="195">
        <v>49.6</v>
      </c>
      <c r="D1498" s="195">
        <v>2.2</v>
      </c>
      <c r="F1498" s="198">
        <v>1059</v>
      </c>
      <c r="G1498" s="195">
        <f t="shared" si="115"/>
        <v>7.459867799811143</v>
      </c>
      <c r="I1498" s="37" t="s">
        <v>1961</v>
      </c>
      <c r="J1498" s="66"/>
      <c r="K1498" s="5">
        <v>1.59</v>
      </c>
      <c r="L1498" s="33">
        <v>250</v>
      </c>
      <c r="M1498" s="5">
        <f t="shared" si="116"/>
        <v>6.36</v>
      </c>
      <c r="O1498" s="24" t="s">
        <v>2310</v>
      </c>
    </row>
    <row r="1499" spans="2:15" ht="12.75">
      <c r="B1499" s="195">
        <v>7.9</v>
      </c>
      <c r="C1499" s="195">
        <v>50.4</v>
      </c>
      <c r="D1499" s="195">
        <v>2</v>
      </c>
      <c r="F1499" s="198">
        <v>1063</v>
      </c>
      <c r="G1499" s="195">
        <f t="shared" si="115"/>
        <v>7.4317968015051745</v>
      </c>
      <c r="I1499" s="40" t="s">
        <v>1404</v>
      </c>
      <c r="J1499" s="151"/>
      <c r="K1499" s="400">
        <v>1.19</v>
      </c>
      <c r="L1499" s="99">
        <v>300</v>
      </c>
      <c r="M1499" s="58">
        <f>K1499/L1499*1000</f>
        <v>3.966666666666666</v>
      </c>
      <c r="O1499" s="24" t="s">
        <v>1226</v>
      </c>
    </row>
    <row r="1500" spans="2:15" ht="12.75">
      <c r="B1500" s="195">
        <v>7.7</v>
      </c>
      <c r="C1500" s="195">
        <v>52.3</v>
      </c>
      <c r="D1500" s="195">
        <v>1.4</v>
      </c>
      <c r="F1500" s="198">
        <v>1073</v>
      </c>
      <c r="G1500" s="195">
        <f t="shared" si="115"/>
        <v>7.1761416589002796</v>
      </c>
      <c r="I1500" s="40" t="s">
        <v>1405</v>
      </c>
      <c r="J1500" s="151"/>
      <c r="K1500" s="400">
        <v>1.19</v>
      </c>
      <c r="L1500" s="99">
        <v>300</v>
      </c>
      <c r="M1500" s="58">
        <f>K1500/L1500*1000</f>
        <v>3.966666666666666</v>
      </c>
      <c r="O1500" s="24" t="s">
        <v>1226</v>
      </c>
    </row>
    <row r="1501" spans="2:15" ht="12.75">
      <c r="B1501" s="195">
        <v>7.9</v>
      </c>
      <c r="C1501" s="195">
        <v>50.4</v>
      </c>
      <c r="D1501" s="195">
        <v>2</v>
      </c>
      <c r="F1501" s="198">
        <v>1063</v>
      </c>
      <c r="G1501" s="195">
        <f t="shared" si="115"/>
        <v>7.4317968015051745</v>
      </c>
      <c r="I1501" s="313" t="s">
        <v>2249</v>
      </c>
      <c r="J1501" s="550"/>
      <c r="K1501" s="400">
        <v>0.99</v>
      </c>
      <c r="L1501" s="99">
        <v>360</v>
      </c>
      <c r="M1501" s="626">
        <f>K1501/L1501*1000</f>
        <v>2.75</v>
      </c>
      <c r="O1501" s="24" t="s">
        <v>2310</v>
      </c>
    </row>
    <row r="1502" spans="2:15" ht="12.75">
      <c r="B1502" s="195">
        <v>7.7</v>
      </c>
      <c r="C1502" s="195">
        <v>52.3</v>
      </c>
      <c r="D1502" s="195">
        <v>1.4</v>
      </c>
      <c r="F1502" s="198">
        <v>1073</v>
      </c>
      <c r="G1502" s="195">
        <f t="shared" si="115"/>
        <v>7.1761416589002796</v>
      </c>
      <c r="I1502" s="313" t="s">
        <v>2784</v>
      </c>
      <c r="J1502" s="550"/>
      <c r="K1502" s="400">
        <v>0.99</v>
      </c>
      <c r="L1502" s="99">
        <v>360</v>
      </c>
      <c r="M1502" s="626">
        <f t="shared" si="116"/>
        <v>2.75</v>
      </c>
      <c r="O1502" s="24" t="s">
        <v>2310</v>
      </c>
    </row>
    <row r="1503" spans="2:15" ht="12.75">
      <c r="B1503" s="195">
        <v>7.6</v>
      </c>
      <c r="C1503" s="195">
        <v>53.1</v>
      </c>
      <c r="D1503" s="195">
        <v>5.1</v>
      </c>
      <c r="F1503" s="198">
        <v>1221</v>
      </c>
      <c r="G1503" s="195">
        <f t="shared" si="115"/>
        <v>6.224406224406224</v>
      </c>
      <c r="I1503" s="1" t="s">
        <v>935</v>
      </c>
      <c r="J1503" s="151"/>
      <c r="K1503" s="5">
        <v>0.99</v>
      </c>
      <c r="L1503">
        <v>300</v>
      </c>
      <c r="M1503" s="58">
        <f t="shared" si="116"/>
        <v>3.3</v>
      </c>
      <c r="O1503" s="24" t="s">
        <v>820</v>
      </c>
    </row>
    <row r="1504" spans="9:13" ht="12.75">
      <c r="I1504" s="6"/>
      <c r="J1504" s="55"/>
      <c r="K1504" s="16"/>
      <c r="L1504" s="7"/>
      <c r="M1504" s="16"/>
    </row>
    <row r="1505" spans="9:14" ht="15.75">
      <c r="I1505" s="178" t="s">
        <v>2506</v>
      </c>
      <c r="L1505" s="7"/>
      <c r="M1505" s="16"/>
      <c r="N1505" s="7"/>
    </row>
    <row r="1506" spans="9:15" ht="12.75">
      <c r="I1506" s="31" t="s">
        <v>2735</v>
      </c>
      <c r="J1506" s="66"/>
      <c r="K1506" s="32">
        <v>12.95</v>
      </c>
      <c r="L1506" s="33">
        <v>750</v>
      </c>
      <c r="M1506" s="32">
        <f>K1506/L1506*1000</f>
        <v>17.266666666666666</v>
      </c>
      <c r="O1506" s="24" t="s">
        <v>1792</v>
      </c>
    </row>
    <row r="1507" spans="9:15" ht="12.75">
      <c r="I1507" s="28" t="s">
        <v>2735</v>
      </c>
      <c r="J1507" s="96"/>
      <c r="K1507" s="29">
        <v>11.49</v>
      </c>
      <c r="L1507" s="30">
        <v>750</v>
      </c>
      <c r="M1507" s="29">
        <f>K1507/L1507*1000</f>
        <v>15.32</v>
      </c>
      <c r="O1507" s="24" t="s">
        <v>689</v>
      </c>
    </row>
    <row r="1508" spans="9:15" ht="12.75">
      <c r="I1508" s="28" t="s">
        <v>2735</v>
      </c>
      <c r="J1508" s="96"/>
      <c r="K1508" s="29">
        <v>10.99</v>
      </c>
      <c r="L1508" s="30">
        <v>750</v>
      </c>
      <c r="M1508" s="29">
        <f>K1508/L1508*1000</f>
        <v>14.653333333333334</v>
      </c>
      <c r="O1508" s="24" t="s">
        <v>2670</v>
      </c>
    </row>
    <row r="1509" spans="9:15" ht="12.75">
      <c r="I1509" s="28" t="s">
        <v>838</v>
      </c>
      <c r="J1509" s="96"/>
      <c r="K1509" s="29">
        <v>9.39</v>
      </c>
      <c r="L1509" s="30">
        <v>750</v>
      </c>
      <c r="M1509" s="29">
        <f aca="true" t="shared" si="117" ref="M1509:M1516">K1509/L1509*1000</f>
        <v>12.520000000000001</v>
      </c>
      <c r="O1509" s="24" t="s">
        <v>1155</v>
      </c>
    </row>
    <row r="1510" spans="9:15" ht="12.75">
      <c r="I1510" s="503" t="s">
        <v>2426</v>
      </c>
      <c r="J1510" s="55"/>
      <c r="K1510" s="16">
        <v>2.99</v>
      </c>
      <c r="L1510" s="7">
        <v>400</v>
      </c>
      <c r="M1510" s="16">
        <f t="shared" si="117"/>
        <v>7.4750000000000005</v>
      </c>
      <c r="O1510" s="24" t="s">
        <v>942</v>
      </c>
    </row>
    <row r="1511" spans="2:15" ht="12.75">
      <c r="B1511" s="195">
        <v>5.9</v>
      </c>
      <c r="C1511" s="195">
        <v>69</v>
      </c>
      <c r="D1511" s="195">
        <v>3.5</v>
      </c>
      <c r="F1511" s="198">
        <v>1444</v>
      </c>
      <c r="G1511" s="195">
        <f>B1511/F1511*1000</f>
        <v>4.085872576177286</v>
      </c>
      <c r="H1511" s="1212">
        <f>M1511/F1511*100000</f>
        <v>383.1948291782087</v>
      </c>
      <c r="I1511" s="15" t="s">
        <v>2119</v>
      </c>
      <c r="J1511" s="55"/>
      <c r="K1511" s="16">
        <v>2.49</v>
      </c>
      <c r="L1511" s="7">
        <v>450</v>
      </c>
      <c r="M1511" s="16">
        <f>K1511/L1511*1000</f>
        <v>5.533333333333334</v>
      </c>
      <c r="N1511" s="7"/>
      <c r="O1511" s="24" t="s">
        <v>1607</v>
      </c>
    </row>
    <row r="1512" spans="2:15" ht="13.5" thickBot="1">
      <c r="B1512" s="195">
        <v>4.3</v>
      </c>
      <c r="C1512" s="195">
        <v>51</v>
      </c>
      <c r="D1512" s="195">
        <v>3.3</v>
      </c>
      <c r="F1512" s="198">
        <v>1067</v>
      </c>
      <c r="G1512" s="195">
        <f>B1512/F1512*1000</f>
        <v>4.029990627928772</v>
      </c>
      <c r="H1512" s="196"/>
      <c r="I1512" s="147" t="s">
        <v>138</v>
      </c>
      <c r="J1512" s="162"/>
      <c r="K1512" s="148">
        <v>2.19</v>
      </c>
      <c r="L1512" s="149">
        <v>450</v>
      </c>
      <c r="M1512" s="148">
        <f>K1512/L1512*1000</f>
        <v>4.866666666666667</v>
      </c>
      <c r="N1512" s="7"/>
      <c r="O1512" s="24" t="s">
        <v>1705</v>
      </c>
    </row>
    <row r="1513" spans="2:15" ht="12.75">
      <c r="B1513" s="195">
        <v>4.3</v>
      </c>
      <c r="C1513" s="195">
        <v>51</v>
      </c>
      <c r="D1513" s="195">
        <v>3.3</v>
      </c>
      <c r="F1513" s="198">
        <v>1067</v>
      </c>
      <c r="G1513" s="677">
        <f>B1513/F1513*1000</f>
        <v>4.029990627928772</v>
      </c>
      <c r="H1513" s="196"/>
      <c r="I1513" s="147" t="s">
        <v>138</v>
      </c>
      <c r="J1513" s="162"/>
      <c r="K1513" s="148">
        <v>1.99</v>
      </c>
      <c r="L1513" s="803">
        <v>450</v>
      </c>
      <c r="M1513" s="148">
        <f>K1513/L1513*1000</f>
        <v>4.4222222222222225</v>
      </c>
      <c r="N1513" s="7"/>
      <c r="O1513" s="24" t="s">
        <v>1595</v>
      </c>
    </row>
    <row r="1514" spans="2:15" ht="13.5" thickBot="1">
      <c r="B1514" s="195">
        <v>4.6</v>
      </c>
      <c r="C1514" s="195">
        <v>60</v>
      </c>
      <c r="D1514" s="195">
        <v>4.1</v>
      </c>
      <c r="F1514" s="198">
        <v>1243</v>
      </c>
      <c r="G1514" s="678">
        <f>B1514/F1514*1000</f>
        <v>3.700724054706355</v>
      </c>
      <c r="H1514" s="196"/>
      <c r="I1514" s="147" t="s">
        <v>138</v>
      </c>
      <c r="J1514" s="162"/>
      <c r="K1514" s="148">
        <v>1.99</v>
      </c>
      <c r="L1514" s="676">
        <v>500</v>
      </c>
      <c r="M1514" s="148">
        <f t="shared" si="117"/>
        <v>3.98</v>
      </c>
      <c r="N1514" s="7"/>
      <c r="O1514" s="24" t="s">
        <v>2802</v>
      </c>
    </row>
    <row r="1515" spans="9:15" ht="12.75">
      <c r="I1515" s="123" t="s">
        <v>430</v>
      </c>
      <c r="J1515" s="162"/>
      <c r="K1515" s="148">
        <v>2.99</v>
      </c>
      <c r="L1515" s="149">
        <v>500</v>
      </c>
      <c r="M1515" s="148">
        <f t="shared" si="117"/>
        <v>5.98</v>
      </c>
      <c r="N1515" s="7"/>
      <c r="O1515" s="24" t="s">
        <v>2266</v>
      </c>
    </row>
    <row r="1516" spans="9:15" ht="12.75">
      <c r="I1516" s="123" t="s">
        <v>3074</v>
      </c>
      <c r="J1516" s="162"/>
      <c r="K1516" s="148">
        <v>2.99</v>
      </c>
      <c r="L1516" s="149">
        <v>750</v>
      </c>
      <c r="M1516" s="148">
        <f t="shared" si="117"/>
        <v>3.986666666666667</v>
      </c>
      <c r="N1516" s="7"/>
      <c r="O1516" s="24" t="s">
        <v>2266</v>
      </c>
    </row>
    <row r="1517" spans="9:14" ht="12.75">
      <c r="I1517" s="123"/>
      <c r="J1517" s="162"/>
      <c r="K1517" s="148"/>
      <c r="L1517" s="149"/>
      <c r="M1517" s="148"/>
      <c r="N1517" s="7"/>
    </row>
    <row r="1518" spans="9:14" ht="12.75">
      <c r="I1518" s="6"/>
      <c r="J1518" s="55"/>
      <c r="K1518" s="16"/>
      <c r="L1518" s="7"/>
      <c r="M1518" s="16"/>
      <c r="N1518" s="7"/>
    </row>
    <row r="1519" spans="9:14" ht="18">
      <c r="I1519" s="284" t="s">
        <v>2607</v>
      </c>
      <c r="L1519" s="7"/>
      <c r="M1519" s="16"/>
      <c r="N1519" s="7"/>
    </row>
    <row r="1520" spans="9:13" ht="12.75">
      <c r="I1520" s="2" t="s">
        <v>1112</v>
      </c>
      <c r="M1520" s="5"/>
    </row>
    <row r="1521" spans="2:15" s="3" customFormat="1" ht="12.75">
      <c r="B1521" s="196">
        <v>9</v>
      </c>
      <c r="C1521" s="196">
        <v>45</v>
      </c>
      <c r="D1521" s="196">
        <v>1</v>
      </c>
      <c r="E1521" s="738"/>
      <c r="F1521" s="199">
        <f>138*4.18</f>
        <v>576.8399999999999</v>
      </c>
      <c r="G1521" s="196">
        <f>B1521/F1521*1000</f>
        <v>15.602246723528191</v>
      </c>
      <c r="H1521" s="1212">
        <f>M1521/F1521*100000</f>
        <v>1315.483547277867</v>
      </c>
      <c r="I1521" s="287" t="s">
        <v>1407</v>
      </c>
      <c r="J1521" s="1400"/>
      <c r="K1521" s="73">
        <v>1.29</v>
      </c>
      <c r="L1521" s="285">
        <v>170</v>
      </c>
      <c r="M1521" s="73">
        <f>K1521/L1521*1000</f>
        <v>7.588235294117648</v>
      </c>
      <c r="O1521" s="50" t="s">
        <v>1539</v>
      </c>
    </row>
    <row r="1522" spans="2:15" s="3" customFormat="1" ht="12.75">
      <c r="B1522" s="196"/>
      <c r="C1522" s="196"/>
      <c r="D1522" s="196"/>
      <c r="E1522" s="738"/>
      <c r="F1522" s="199"/>
      <c r="G1522" s="196"/>
      <c r="H1522" s="195"/>
      <c r="I1522" s="287"/>
      <c r="J1522" s="1400"/>
      <c r="K1522" s="73"/>
      <c r="L1522" s="285"/>
      <c r="M1522" s="73"/>
      <c r="O1522" s="50"/>
    </row>
    <row r="1523" spans="9:13" ht="15.75">
      <c r="I1523" s="91" t="s">
        <v>1329</v>
      </c>
      <c r="J1523" s="55"/>
      <c r="K1523" s="73"/>
      <c r="L1523" s="7"/>
      <c r="M1523" s="16"/>
    </row>
    <row r="1524" spans="2:15" ht="12.75">
      <c r="B1524" s="195">
        <v>7.4</v>
      </c>
      <c r="C1524" s="195">
        <v>66</v>
      </c>
      <c r="D1524" s="195">
        <v>13.3</v>
      </c>
      <c r="F1524" s="198">
        <v>1830</v>
      </c>
      <c r="G1524" s="196">
        <f>B1524/F1524*1000</f>
        <v>4.043715846994536</v>
      </c>
      <c r="H1524" s="1212">
        <f>M1524/F1524*100000</f>
        <v>370.5601092896175</v>
      </c>
      <c r="I1524" s="37" t="s">
        <v>2413</v>
      </c>
      <c r="J1524" s="55"/>
      <c r="K1524" s="53">
        <v>10.85</v>
      </c>
      <c r="L1524" s="26">
        <v>1600</v>
      </c>
      <c r="M1524" s="25">
        <f>K1524/L1524*1000</f>
        <v>6.78125</v>
      </c>
      <c r="N1524" s="20"/>
      <c r="O1524" s="125" t="s">
        <v>2414</v>
      </c>
    </row>
    <row r="1525" spans="2:15" ht="12.75">
      <c r="B1525" s="195">
        <v>7.4</v>
      </c>
      <c r="C1525" s="195">
        <v>72</v>
      </c>
      <c r="D1525" s="195">
        <v>12</v>
      </c>
      <c r="F1525" s="198">
        <v>1836</v>
      </c>
      <c r="G1525" s="196">
        <f>B1525/F1525*1000</f>
        <v>4.030501089324619</v>
      </c>
      <c r="H1525" s="1212">
        <f>M1525/F1525*100000</f>
        <v>380.17429193899784</v>
      </c>
      <c r="I1525" s="37" t="s">
        <v>1070</v>
      </c>
      <c r="J1525" s="55"/>
      <c r="K1525" s="53">
        <v>3.49</v>
      </c>
      <c r="L1525" s="26">
        <v>500</v>
      </c>
      <c r="M1525" s="25">
        <f>K1525/L1525*1000</f>
        <v>6.98</v>
      </c>
      <c r="N1525" s="20"/>
      <c r="O1525" s="125" t="s">
        <v>3121</v>
      </c>
    </row>
    <row r="1526" spans="9:15" ht="12.75">
      <c r="I1526" s="43" t="s">
        <v>1070</v>
      </c>
      <c r="J1526" s="46"/>
      <c r="K1526" s="914">
        <v>35.97</v>
      </c>
      <c r="L1526" s="45">
        <v>7500</v>
      </c>
      <c r="M1526" s="44">
        <f>K1526/L1526*1000</f>
        <v>4.796</v>
      </c>
      <c r="N1526" s="20"/>
      <c r="O1526" s="125" t="s">
        <v>1204</v>
      </c>
    </row>
    <row r="1527" spans="9:15" ht="12.75">
      <c r="I1527" s="43" t="s">
        <v>1070</v>
      </c>
      <c r="J1527" s="46"/>
      <c r="K1527" s="914">
        <v>40.35</v>
      </c>
      <c r="L1527" s="45">
        <v>7500</v>
      </c>
      <c r="M1527" s="44">
        <f>K1527/L1527*1000</f>
        <v>5.38</v>
      </c>
      <c r="N1527" s="20"/>
      <c r="O1527" s="125" t="s">
        <v>2177</v>
      </c>
    </row>
    <row r="1528" spans="9:15" ht="12.75">
      <c r="I1528" s="28" t="s">
        <v>1070</v>
      </c>
      <c r="J1528" s="96"/>
      <c r="K1528" s="111">
        <v>1.79</v>
      </c>
      <c r="L1528" s="30">
        <v>500</v>
      </c>
      <c r="M1528" s="29">
        <f>K1528/L1528*1000</f>
        <v>3.58</v>
      </c>
      <c r="N1528" s="20"/>
      <c r="O1528" s="125" t="s">
        <v>3121</v>
      </c>
    </row>
    <row r="1529" spans="9:15" ht="12.75">
      <c r="I1529" s="6" t="s">
        <v>2336</v>
      </c>
      <c r="J1529" s="55"/>
      <c r="K1529" s="73">
        <v>1.69</v>
      </c>
      <c r="L1529" s="7">
        <v>500</v>
      </c>
      <c r="M1529" s="16">
        <f aca="true" t="shared" si="118" ref="M1529:M1536">K1529/L1529*1000</f>
        <v>3.38</v>
      </c>
      <c r="N1529" s="20"/>
      <c r="O1529" s="125" t="s">
        <v>2168</v>
      </c>
    </row>
    <row r="1530" spans="9:15" ht="12.75">
      <c r="I1530" s="6" t="s">
        <v>72</v>
      </c>
      <c r="K1530" s="16">
        <v>0.99</v>
      </c>
      <c r="L1530" s="7">
        <v>400</v>
      </c>
      <c r="M1530" s="16">
        <f t="shared" si="118"/>
        <v>2.4749999999999996</v>
      </c>
      <c r="N1530" s="7" t="s">
        <v>1362</v>
      </c>
      <c r="O1530" s="24" t="s">
        <v>2974</v>
      </c>
    </row>
    <row r="1531" spans="2:15" s="3" customFormat="1" ht="12.75">
      <c r="B1531" s="196"/>
      <c r="C1531" s="196"/>
      <c r="D1531" s="196"/>
      <c r="E1531" s="738"/>
      <c r="F1531" s="199"/>
      <c r="G1531" s="196"/>
      <c r="H1531" s="196"/>
      <c r="I1531" s="287" t="s">
        <v>71</v>
      </c>
      <c r="J1531" s="177"/>
      <c r="K1531" s="73">
        <v>1.5</v>
      </c>
      <c r="L1531" s="285">
        <v>400</v>
      </c>
      <c r="M1531" s="73">
        <f t="shared" si="118"/>
        <v>3.75</v>
      </c>
      <c r="N1531" s="285"/>
      <c r="O1531" s="50" t="s">
        <v>2526</v>
      </c>
    </row>
    <row r="1532" spans="2:15" s="3" customFormat="1" ht="12.75">
      <c r="B1532" s="196"/>
      <c r="C1532" s="196"/>
      <c r="D1532" s="196"/>
      <c r="E1532" s="738"/>
      <c r="F1532" s="199"/>
      <c r="G1532" s="196"/>
      <c r="H1532" s="196"/>
      <c r="I1532" s="287"/>
      <c r="J1532" s="177"/>
      <c r="K1532" s="73"/>
      <c r="L1532" s="285"/>
      <c r="M1532" s="73"/>
      <c r="N1532" s="285"/>
      <c r="O1532" s="50"/>
    </row>
    <row r="1533" spans="9:15" ht="12.75">
      <c r="I1533" s="43" t="s">
        <v>2403</v>
      </c>
      <c r="K1533" s="5">
        <v>1.69</v>
      </c>
      <c r="L1533" s="33">
        <v>125</v>
      </c>
      <c r="M1533" s="32">
        <f t="shared" si="118"/>
        <v>13.52</v>
      </c>
      <c r="N1533" s="7"/>
      <c r="O1533" s="24" t="s">
        <v>2736</v>
      </c>
    </row>
    <row r="1534" spans="9:15" ht="12.75">
      <c r="I1534" s="31" t="s">
        <v>2443</v>
      </c>
      <c r="J1534" s="66"/>
      <c r="K1534" s="32">
        <v>1.35</v>
      </c>
      <c r="L1534" s="33">
        <v>125</v>
      </c>
      <c r="M1534" s="32">
        <f t="shared" si="118"/>
        <v>10.8</v>
      </c>
      <c r="O1534" s="24" t="s">
        <v>2695</v>
      </c>
    </row>
    <row r="1535" spans="9:15" ht="12.75">
      <c r="I1535" s="31" t="s">
        <v>91</v>
      </c>
      <c r="J1535" s="66"/>
      <c r="K1535" s="32">
        <v>1.35</v>
      </c>
      <c r="L1535" s="33">
        <v>125</v>
      </c>
      <c r="M1535" s="32">
        <f t="shared" si="118"/>
        <v>10.8</v>
      </c>
      <c r="O1535" s="24" t="s">
        <v>2695</v>
      </c>
    </row>
    <row r="1536" spans="9:15" ht="12.75">
      <c r="I1536" s="28" t="s">
        <v>91</v>
      </c>
      <c r="J1536" s="96"/>
      <c r="K1536" s="29">
        <v>1.25</v>
      </c>
      <c r="L1536" s="30">
        <v>125</v>
      </c>
      <c r="M1536" s="29">
        <f t="shared" si="118"/>
        <v>10</v>
      </c>
      <c r="N1536" s="30"/>
      <c r="O1536" s="54" t="s">
        <v>2750</v>
      </c>
    </row>
    <row r="1537" spans="9:15" ht="12.75">
      <c r="I1537" s="40" t="s">
        <v>2282</v>
      </c>
      <c r="J1537" s="61"/>
      <c r="K1537" s="41"/>
      <c r="L1537" s="42"/>
      <c r="M1537" s="41">
        <v>12.8</v>
      </c>
      <c r="N1537" s="42"/>
      <c r="O1537" s="125" t="s">
        <v>1539</v>
      </c>
    </row>
    <row r="1538" spans="9:15" ht="12.75">
      <c r="I1538" s="6" t="s">
        <v>2290</v>
      </c>
      <c r="J1538" s="55"/>
      <c r="K1538" s="16">
        <v>1.8</v>
      </c>
      <c r="L1538" s="7">
        <v>300</v>
      </c>
      <c r="M1538" s="16">
        <f aca="true" t="shared" si="119" ref="M1538:M1549">K1538/L1538*1000</f>
        <v>6</v>
      </c>
      <c r="O1538" s="24" t="s">
        <v>959</v>
      </c>
    </row>
    <row r="1539" spans="9:15" ht="12.75">
      <c r="I1539" s="6" t="s">
        <v>2427</v>
      </c>
      <c r="J1539" s="55"/>
      <c r="K1539" s="16">
        <v>1.8</v>
      </c>
      <c r="L1539" s="7">
        <v>250</v>
      </c>
      <c r="M1539" s="16">
        <f t="shared" si="119"/>
        <v>7.2</v>
      </c>
      <c r="O1539" s="24" t="s">
        <v>2695</v>
      </c>
    </row>
    <row r="1540" spans="9:15" ht="12.75">
      <c r="I1540" s="6" t="s">
        <v>749</v>
      </c>
      <c r="J1540" s="55"/>
      <c r="K1540" s="16">
        <v>1.8</v>
      </c>
      <c r="L1540" s="7">
        <v>500</v>
      </c>
      <c r="M1540" s="16">
        <f t="shared" si="119"/>
        <v>3.6</v>
      </c>
      <c r="O1540" s="24" t="s">
        <v>2695</v>
      </c>
    </row>
    <row r="1541" spans="9:13" ht="12.75">
      <c r="I1541" s="6"/>
      <c r="J1541" s="55"/>
      <c r="K1541" s="16"/>
      <c r="L1541" s="7"/>
      <c r="M1541" s="16"/>
    </row>
    <row r="1542" spans="9:13" ht="15.75">
      <c r="I1542" s="178" t="s">
        <v>2501</v>
      </c>
      <c r="J1542" s="55"/>
      <c r="K1542" s="73"/>
      <c r="L1542" s="7"/>
      <c r="M1542" s="16"/>
    </row>
    <row r="1543" spans="2:15" ht="12.75">
      <c r="B1543" s="195">
        <v>13</v>
      </c>
      <c r="C1543" s="195">
        <v>73</v>
      </c>
      <c r="D1543" s="195">
        <v>2.6</v>
      </c>
      <c r="F1543" s="198">
        <v>1601</v>
      </c>
      <c r="G1543" s="195">
        <f aca="true" t="shared" si="120" ref="G1543:G1549">B1543/F1543*1000</f>
        <v>8.119925046845722</v>
      </c>
      <c r="H1543" s="1212">
        <f aca="true" t="shared" si="121" ref="H1543:H1549">M1543/F1543*100000</f>
        <v>135.33208411409535</v>
      </c>
      <c r="I1543" s="6" t="s">
        <v>1694</v>
      </c>
      <c r="J1543" s="55"/>
      <c r="K1543" s="16">
        <v>0.65</v>
      </c>
      <c r="L1543" s="7">
        <v>300</v>
      </c>
      <c r="M1543" s="16">
        <f>K1543/L1543*1000</f>
        <v>2.1666666666666665</v>
      </c>
      <c r="N1543" s="20"/>
      <c r="O1543" s="24" t="s">
        <v>2761</v>
      </c>
    </row>
    <row r="1544" spans="2:15" ht="12.75">
      <c r="B1544" s="195">
        <v>13</v>
      </c>
      <c r="C1544" s="195">
        <v>73</v>
      </c>
      <c r="D1544" s="195">
        <v>2.6</v>
      </c>
      <c r="F1544" s="198">
        <v>1601</v>
      </c>
      <c r="G1544" s="195">
        <f t="shared" si="120"/>
        <v>8.119925046845722</v>
      </c>
      <c r="H1544" s="1212">
        <f t="shared" si="121"/>
        <v>122.83989173433271</v>
      </c>
      <c r="I1544" s="17" t="s">
        <v>420</v>
      </c>
      <c r="J1544" s="160"/>
      <c r="K1544" s="18">
        <v>0.59</v>
      </c>
      <c r="L1544" s="19">
        <v>300</v>
      </c>
      <c r="M1544" s="18">
        <f>K1544/L1544*1000</f>
        <v>1.9666666666666666</v>
      </c>
      <c r="N1544" s="20"/>
      <c r="O1544" s="24" t="s">
        <v>173</v>
      </c>
    </row>
    <row r="1545" spans="2:15" ht="12.75">
      <c r="B1545" s="195">
        <v>13</v>
      </c>
      <c r="C1545" s="195">
        <v>73</v>
      </c>
      <c r="D1545" s="195">
        <v>2.6</v>
      </c>
      <c r="F1545" s="198">
        <v>1601</v>
      </c>
      <c r="G1545" s="195">
        <f t="shared" si="120"/>
        <v>8.119925046845722</v>
      </c>
      <c r="H1545" s="1212">
        <f t="shared" si="121"/>
        <v>122.83989173433271</v>
      </c>
      <c r="I1545" s="6" t="s">
        <v>659</v>
      </c>
      <c r="J1545" s="55"/>
      <c r="K1545" s="16">
        <v>0.59</v>
      </c>
      <c r="L1545" s="7">
        <v>300</v>
      </c>
      <c r="M1545" s="16">
        <f t="shared" si="119"/>
        <v>1.9666666666666666</v>
      </c>
      <c r="N1545" s="7"/>
      <c r="O1545" s="24" t="s">
        <v>890</v>
      </c>
    </row>
    <row r="1546" spans="2:15" ht="12.75">
      <c r="B1546" s="195">
        <v>11</v>
      </c>
      <c r="C1546" s="195">
        <v>71</v>
      </c>
      <c r="D1546" s="195">
        <v>4.2</v>
      </c>
      <c r="F1546" s="198">
        <v>1583</v>
      </c>
      <c r="G1546" s="195">
        <f t="shared" si="120"/>
        <v>6.948831332912191</v>
      </c>
      <c r="H1546" s="1212">
        <f t="shared" si="121"/>
        <v>164.24510423247</v>
      </c>
      <c r="I1546" s="15" t="s">
        <v>2171</v>
      </c>
      <c r="J1546" s="55"/>
      <c r="K1546" s="16">
        <v>0.65</v>
      </c>
      <c r="L1546" s="7">
        <v>250</v>
      </c>
      <c r="M1546" s="16">
        <f>K1546/L1546*1000</f>
        <v>2.6</v>
      </c>
      <c r="N1546" s="20"/>
      <c r="O1546" s="24" t="s">
        <v>1586</v>
      </c>
    </row>
    <row r="1547" spans="2:15" ht="12.75">
      <c r="B1547" s="195">
        <v>11</v>
      </c>
      <c r="C1547" s="195">
        <v>71</v>
      </c>
      <c r="D1547" s="195">
        <v>4.2</v>
      </c>
      <c r="F1547" s="198">
        <v>1583</v>
      </c>
      <c r="G1547" s="195">
        <f t="shared" si="120"/>
        <v>6.948831332912191</v>
      </c>
      <c r="H1547" s="1212">
        <f t="shared" si="121"/>
        <v>123.81554011370815</v>
      </c>
      <c r="I1547" s="6" t="s">
        <v>2171</v>
      </c>
      <c r="J1547" s="55"/>
      <c r="K1547" s="16">
        <v>0.49</v>
      </c>
      <c r="L1547" s="7">
        <v>250</v>
      </c>
      <c r="M1547" s="16">
        <f t="shared" si="119"/>
        <v>1.96</v>
      </c>
      <c r="N1547" s="20"/>
      <c r="O1547" s="24" t="s">
        <v>2634</v>
      </c>
    </row>
    <row r="1548" spans="2:15" ht="12.75">
      <c r="B1548" s="195">
        <v>11</v>
      </c>
      <c r="C1548" s="195">
        <v>71</v>
      </c>
      <c r="D1548" s="195">
        <v>4.2</v>
      </c>
      <c r="F1548" s="198">
        <v>1583</v>
      </c>
      <c r="G1548" s="195">
        <f t="shared" si="120"/>
        <v>6.948831332912191</v>
      </c>
      <c r="H1548" s="1212">
        <f t="shared" si="121"/>
        <v>90.96651926721415</v>
      </c>
      <c r="I1548" s="799" t="s">
        <v>658</v>
      </c>
      <c r="J1548" s="270"/>
      <c r="K1548" s="272">
        <v>0.36</v>
      </c>
      <c r="L1548" s="271">
        <v>250</v>
      </c>
      <c r="M1548" s="272">
        <f t="shared" si="119"/>
        <v>1.44</v>
      </c>
      <c r="N1548" s="20" t="s">
        <v>1362</v>
      </c>
      <c r="O1548" s="24" t="s">
        <v>890</v>
      </c>
    </row>
    <row r="1549" spans="2:15" ht="12.75">
      <c r="B1549" s="195">
        <v>11</v>
      </c>
      <c r="C1549" s="195">
        <v>71</v>
      </c>
      <c r="D1549" s="195">
        <v>4.2</v>
      </c>
      <c r="F1549" s="198">
        <v>1583</v>
      </c>
      <c r="G1549" s="195">
        <f t="shared" si="120"/>
        <v>6.948831332912191</v>
      </c>
      <c r="H1549" s="1212">
        <f t="shared" si="121"/>
        <v>123.81554011370815</v>
      </c>
      <c r="I1549" s="1329" t="s">
        <v>658</v>
      </c>
      <c r="J1549" s="270"/>
      <c r="K1549" s="272">
        <v>0.49</v>
      </c>
      <c r="L1549" s="271">
        <v>250</v>
      </c>
      <c r="M1549" s="272">
        <f t="shared" si="119"/>
        <v>1.96</v>
      </c>
      <c r="N1549" s="7"/>
      <c r="O1549" s="24" t="s">
        <v>412</v>
      </c>
    </row>
    <row r="1550" spans="9:13" ht="12.75">
      <c r="I1550" s="6"/>
      <c r="J1550" s="55"/>
      <c r="K1550" s="16"/>
      <c r="L1550" s="7"/>
      <c r="M1550" s="16"/>
    </row>
    <row r="1551" spans="9:12" ht="15.75">
      <c r="I1551" s="52" t="s">
        <v>1628</v>
      </c>
      <c r="J1551" s="151"/>
      <c r="L1551" s="34"/>
    </row>
    <row r="1552" spans="2:15" ht="12.75">
      <c r="B1552" s="195">
        <v>2.3</v>
      </c>
      <c r="C1552" s="195">
        <v>67</v>
      </c>
      <c r="D1552" s="195">
        <v>0.4</v>
      </c>
      <c r="F1552" s="198">
        <v>1256</v>
      </c>
      <c r="G1552" s="195">
        <f>B1552/F1552*1000</f>
        <v>1.8312101910828023</v>
      </c>
      <c r="H1552" s="1212">
        <f>M1552/F1552*100000</f>
        <v>861.4649681528662</v>
      </c>
      <c r="I1552" s="59" t="s">
        <v>1215</v>
      </c>
      <c r="J1552" s="151"/>
      <c r="M1552" s="41">
        <v>10.82</v>
      </c>
      <c r="O1552" s="24" t="s">
        <v>1985</v>
      </c>
    </row>
    <row r="1553" spans="2:15" ht="12.75">
      <c r="B1553" s="195">
        <v>2.3</v>
      </c>
      <c r="C1553" s="195">
        <v>67</v>
      </c>
      <c r="D1553" s="195">
        <v>0.4</v>
      </c>
      <c r="F1553" s="198">
        <v>1256</v>
      </c>
      <c r="G1553" s="195">
        <f>B1553/F1553*1000</f>
        <v>1.8312101910828023</v>
      </c>
      <c r="H1553" s="1212">
        <f>M1553/F1553*100000</f>
        <v>792.1974522292994</v>
      </c>
      <c r="I1553" s="1448" t="s">
        <v>2485</v>
      </c>
      <c r="J1553" s="1449"/>
      <c r="K1553" s="1450">
        <v>11.94</v>
      </c>
      <c r="L1553" s="1451">
        <v>1200</v>
      </c>
      <c r="M1553" s="1452">
        <f>K1553/L1553*1000</f>
        <v>9.95</v>
      </c>
      <c r="O1553" s="24" t="s">
        <v>2514</v>
      </c>
    </row>
    <row r="1554" spans="9:15" ht="12.75">
      <c r="I1554" s="2" t="s">
        <v>596</v>
      </c>
      <c r="J1554" s="151"/>
      <c r="K1554" s="5" t="s">
        <v>560</v>
      </c>
      <c r="L1554" t="s">
        <v>560</v>
      </c>
      <c r="M1554" s="5">
        <v>16.9</v>
      </c>
      <c r="O1554" s="24" t="s">
        <v>946</v>
      </c>
    </row>
    <row r="1555" spans="2:15" s="10" customFormat="1" ht="12.75">
      <c r="B1555" s="218"/>
      <c r="C1555" s="218"/>
      <c r="D1555" s="218"/>
      <c r="E1555" s="737"/>
      <c r="F1555" s="219"/>
      <c r="G1555" s="218"/>
      <c r="H1555" s="218"/>
      <c r="I1555" s="221" t="s">
        <v>595</v>
      </c>
      <c r="J1555" s="686"/>
      <c r="K1555" s="9" t="s">
        <v>560</v>
      </c>
      <c r="L1555" s="10" t="s">
        <v>560</v>
      </c>
      <c r="M1555" s="9">
        <v>16.9</v>
      </c>
      <c r="O1555" s="224" t="s">
        <v>946</v>
      </c>
    </row>
    <row r="1556" spans="9:15" ht="12.75">
      <c r="I1556" s="97" t="s">
        <v>2638</v>
      </c>
      <c r="J1556" s="163"/>
      <c r="K1556" s="276">
        <v>0.99</v>
      </c>
      <c r="L1556" s="42">
        <v>200</v>
      </c>
      <c r="M1556" s="276">
        <f>K1556/L1556*1000</f>
        <v>4.949999999999999</v>
      </c>
      <c r="O1556" s="24" t="s">
        <v>354</v>
      </c>
    </row>
    <row r="1557" spans="9:15" ht="12.75">
      <c r="I1557" s="71" t="s">
        <v>1</v>
      </c>
      <c r="J1557" s="158"/>
      <c r="K1557" s="116">
        <v>0.99</v>
      </c>
      <c r="L1557" s="30">
        <v>200</v>
      </c>
      <c r="M1557" s="116">
        <f>K1557/L1557*1000</f>
        <v>4.949999999999999</v>
      </c>
      <c r="O1557" s="24" t="s">
        <v>2054</v>
      </c>
    </row>
    <row r="1558" spans="9:15" ht="12.75">
      <c r="I1558" s="43" t="s">
        <v>625</v>
      </c>
      <c r="J1558" s="151"/>
      <c r="K1558" s="5">
        <v>1.49</v>
      </c>
      <c r="L1558">
        <v>200</v>
      </c>
      <c r="M1558" s="5">
        <f>K1558/L1558*1000</f>
        <v>7.45</v>
      </c>
      <c r="O1558" s="24" t="s">
        <v>415</v>
      </c>
    </row>
    <row r="1559" spans="2:15" s="10" customFormat="1" ht="12.75">
      <c r="B1559" s="218">
        <v>1.9</v>
      </c>
      <c r="C1559" s="218">
        <v>65.1</v>
      </c>
      <c r="D1559" s="218">
        <v>0.5</v>
      </c>
      <c r="E1559" s="737"/>
      <c r="F1559" s="219">
        <v>1158</v>
      </c>
      <c r="G1559" s="218">
        <f>B1559/F1559*1000</f>
        <v>1.640759930915371</v>
      </c>
      <c r="H1559" s="218"/>
      <c r="I1559" s="300" t="s">
        <v>724</v>
      </c>
      <c r="J1559" s="78"/>
      <c r="K1559" s="9">
        <v>1.49</v>
      </c>
      <c r="L1559" s="10">
        <v>200</v>
      </c>
      <c r="M1559" s="9">
        <f>K1559/L1559*1000</f>
        <v>7.45</v>
      </c>
      <c r="O1559" s="224" t="s">
        <v>942</v>
      </c>
    </row>
    <row r="1560" spans="9:15" ht="12.75">
      <c r="I1560" s="40" t="s">
        <v>1216</v>
      </c>
      <c r="J1560" s="61"/>
      <c r="K1560" s="41"/>
      <c r="L1560" s="40"/>
      <c r="M1560" s="41">
        <v>19.69</v>
      </c>
      <c r="N1560" s="30"/>
      <c r="O1560" s="24" t="s">
        <v>1985</v>
      </c>
    </row>
    <row r="1561" spans="9:15" ht="12.75">
      <c r="I1561" s="71" t="s">
        <v>2032</v>
      </c>
      <c r="J1561" s="158">
        <v>1.7</v>
      </c>
      <c r="K1561" s="116">
        <f>J1561*0.97</f>
        <v>1.649</v>
      </c>
      <c r="L1561" s="71">
        <v>250</v>
      </c>
      <c r="M1561" s="116">
        <f>K1561/L1561*1000</f>
        <v>6.596</v>
      </c>
      <c r="N1561" s="30" t="s">
        <v>1362</v>
      </c>
      <c r="O1561" s="24" t="s">
        <v>946</v>
      </c>
    </row>
    <row r="1562" spans="9:15" ht="12.75">
      <c r="I1562" s="40" t="s">
        <v>2033</v>
      </c>
      <c r="J1562" s="61"/>
      <c r="K1562" s="41"/>
      <c r="L1562" s="40"/>
      <c r="M1562" s="41">
        <v>10.6</v>
      </c>
      <c r="N1562" s="30"/>
      <c r="O1562" s="24" t="s">
        <v>1539</v>
      </c>
    </row>
    <row r="1563" spans="2:15" ht="12.75">
      <c r="B1563" s="195">
        <v>3.5</v>
      </c>
      <c r="C1563" s="195">
        <v>55.1</v>
      </c>
      <c r="D1563" s="195">
        <v>1.3</v>
      </c>
      <c r="F1563" s="198">
        <v>1059</v>
      </c>
      <c r="G1563" s="195">
        <f>B1563/F1563*1000</f>
        <v>3.305004721435316</v>
      </c>
      <c r="I1563" s="31" t="s">
        <v>2378</v>
      </c>
      <c r="J1563" s="66"/>
      <c r="K1563" s="32">
        <v>4.79</v>
      </c>
      <c r="L1563" s="31">
        <v>500</v>
      </c>
      <c r="M1563" s="32">
        <f aca="true" t="shared" si="122" ref="M1563:M1569">K1563/L1563*1000</f>
        <v>9.58</v>
      </c>
      <c r="O1563" s="24" t="s">
        <v>1246</v>
      </c>
    </row>
    <row r="1564" spans="9:15" ht="12.75">
      <c r="I1564" s="71" t="s">
        <v>1512</v>
      </c>
      <c r="J1564" s="158"/>
      <c r="K1564" s="116">
        <v>2.99</v>
      </c>
      <c r="L1564" s="71">
        <v>500</v>
      </c>
      <c r="M1564" s="116">
        <f t="shared" si="122"/>
        <v>5.98</v>
      </c>
      <c r="O1564" s="24" t="s">
        <v>1304</v>
      </c>
    </row>
    <row r="1565" spans="9:15" ht="12.75">
      <c r="I1565" s="31" t="s">
        <v>212</v>
      </c>
      <c r="J1565" s="66">
        <v>4.59</v>
      </c>
      <c r="K1565" s="32">
        <f>J1565*0.97</f>
        <v>4.4523</v>
      </c>
      <c r="L1565" s="31">
        <v>500</v>
      </c>
      <c r="M1565" s="32">
        <f t="shared" si="122"/>
        <v>8.9046</v>
      </c>
      <c r="O1565" s="24" t="s">
        <v>408</v>
      </c>
    </row>
    <row r="1566" spans="9:15" ht="12.75">
      <c r="I1566" s="31" t="s">
        <v>2841</v>
      </c>
      <c r="J1566" s="66">
        <v>9.99</v>
      </c>
      <c r="K1566" s="32">
        <f>J1566*0.97</f>
        <v>9.6903</v>
      </c>
      <c r="L1566" s="31">
        <v>750</v>
      </c>
      <c r="M1566" s="32">
        <f t="shared" si="122"/>
        <v>12.9204</v>
      </c>
      <c r="O1566" s="24" t="s">
        <v>2632</v>
      </c>
    </row>
    <row r="1567" spans="9:15" ht="12.75">
      <c r="I1567" s="28" t="s">
        <v>249</v>
      </c>
      <c r="J1567" s="96">
        <v>5.99</v>
      </c>
      <c r="K1567" s="29">
        <f>J1567*0.97</f>
        <v>5.8103</v>
      </c>
      <c r="L1567" s="28">
        <v>750</v>
      </c>
      <c r="M1567" s="29">
        <f t="shared" si="122"/>
        <v>7.747066666666667</v>
      </c>
      <c r="O1567" s="24" t="s">
        <v>455</v>
      </c>
    </row>
    <row r="1568" spans="9:15" ht="12.75">
      <c r="I1568" s="43" t="s">
        <v>2323</v>
      </c>
      <c r="J1568" s="66"/>
      <c r="K1568" s="32">
        <v>2.99</v>
      </c>
      <c r="L1568" s="33">
        <v>250</v>
      </c>
      <c r="M1568" s="32">
        <f t="shared" si="122"/>
        <v>11.96</v>
      </c>
      <c r="O1568" s="24" t="s">
        <v>2731</v>
      </c>
    </row>
    <row r="1569" spans="9:15" ht="12.75">
      <c r="I1569" s="6" t="s">
        <v>3007</v>
      </c>
      <c r="J1569" s="55"/>
      <c r="K1569" s="16">
        <v>1.99</v>
      </c>
      <c r="L1569" s="7">
        <v>500</v>
      </c>
      <c r="M1569" s="16">
        <f t="shared" si="122"/>
        <v>3.98</v>
      </c>
      <c r="O1569" s="24" t="s">
        <v>2670</v>
      </c>
    </row>
    <row r="1570" spans="9:13" ht="12.75">
      <c r="I1570" s="31"/>
      <c r="J1570" s="32"/>
      <c r="K1570" s="32"/>
      <c r="L1570" s="33"/>
      <c r="M1570" s="32"/>
    </row>
    <row r="1571" spans="9:13" ht="12.75">
      <c r="I1571" s="31"/>
      <c r="J1571" s="32"/>
      <c r="K1571" s="32"/>
      <c r="L1571" s="33"/>
      <c r="M1571" s="32"/>
    </row>
    <row r="1572" spans="9:13" ht="15.75">
      <c r="I1572" s="52" t="s">
        <v>1282</v>
      </c>
      <c r="J1572" s="32"/>
      <c r="K1572" s="32"/>
      <c r="L1572" s="33"/>
      <c r="M1572" s="32"/>
    </row>
    <row r="1573" spans="9:15" ht="12.75">
      <c r="I1573" s="31" t="s">
        <v>2409</v>
      </c>
      <c r="J1573" s="66">
        <v>4.79</v>
      </c>
      <c r="K1573" s="32">
        <f>J1573*0.97</f>
        <v>4.6463</v>
      </c>
      <c r="L1573" s="33">
        <v>500</v>
      </c>
      <c r="M1573" s="5">
        <f>K1573/L1573*1000</f>
        <v>9.2926</v>
      </c>
      <c r="O1573" s="448" t="s">
        <v>1458</v>
      </c>
    </row>
    <row r="1574" spans="9:15" ht="12.75">
      <c r="I1574" s="31" t="s">
        <v>27</v>
      </c>
      <c r="J1574" s="66">
        <v>4.19</v>
      </c>
      <c r="K1574" s="32">
        <f>J1574*0.97</f>
        <v>4.0643</v>
      </c>
      <c r="L1574" s="33">
        <v>500</v>
      </c>
      <c r="M1574" s="5">
        <f>K1574/L1574*1000</f>
        <v>8.1286</v>
      </c>
      <c r="O1574" s="448" t="s">
        <v>1458</v>
      </c>
    </row>
    <row r="1575" spans="9:15" ht="12.75">
      <c r="I1575" s="28" t="s">
        <v>68</v>
      </c>
      <c r="J1575" s="96">
        <v>5.49</v>
      </c>
      <c r="K1575" s="29">
        <f>J1575*0.97</f>
        <v>5.3253</v>
      </c>
      <c r="L1575" s="30">
        <v>750</v>
      </c>
      <c r="M1575" s="29">
        <f>K1575/L1575*1000</f>
        <v>7.1004000000000005</v>
      </c>
      <c r="O1575" s="448" t="s">
        <v>689</v>
      </c>
    </row>
    <row r="1576" spans="9:15" ht="12.75">
      <c r="I1576" s="31" t="s">
        <v>449</v>
      </c>
      <c r="J1576" s="66">
        <f>4.99*2</f>
        <v>9.98</v>
      </c>
      <c r="K1576" s="32">
        <f>J1576*0.97</f>
        <v>9.6806</v>
      </c>
      <c r="L1576" s="33">
        <v>1500</v>
      </c>
      <c r="M1576" s="5">
        <f>K1576/L1576*1000</f>
        <v>6.453733333333334</v>
      </c>
      <c r="O1576" s="716" t="s">
        <v>2127</v>
      </c>
    </row>
    <row r="1577" spans="9:15" ht="12.75">
      <c r="I1577" s="2" t="s">
        <v>531</v>
      </c>
      <c r="J1577" s="66"/>
      <c r="K1577" s="32"/>
      <c r="L1577" s="33"/>
      <c r="M1577" s="5">
        <v>6.99</v>
      </c>
      <c r="O1577" s="716" t="s">
        <v>689</v>
      </c>
    </row>
    <row r="1578" spans="9:15" ht="12.75">
      <c r="I1578" s="71" t="s">
        <v>3040</v>
      </c>
      <c r="J1578" s="96"/>
      <c r="K1578" s="29"/>
      <c r="L1578" s="30"/>
      <c r="M1578" s="29">
        <v>3.49</v>
      </c>
      <c r="O1578" s="24" t="s">
        <v>1304</v>
      </c>
    </row>
    <row r="1579" spans="9:15" ht="12.75">
      <c r="I1579" s="31" t="s">
        <v>2699</v>
      </c>
      <c r="J1579" s="66"/>
      <c r="K1579" s="32">
        <v>2.29</v>
      </c>
      <c r="L1579" s="33">
        <v>500</v>
      </c>
      <c r="M1579" s="5">
        <f>K1579/L1579*1000</f>
        <v>4.58</v>
      </c>
      <c r="O1579" s="24" t="s">
        <v>1304</v>
      </c>
    </row>
    <row r="1580" spans="2:15" ht="12.75">
      <c r="B1580" s="195">
        <v>2.5</v>
      </c>
      <c r="C1580" s="195">
        <v>66</v>
      </c>
      <c r="D1580" s="195">
        <v>0.6</v>
      </c>
      <c r="F1580" s="198">
        <v>1187</v>
      </c>
      <c r="G1580" s="195">
        <f>B1580/F1580*1000</f>
        <v>2.1061499578770007</v>
      </c>
      <c r="I1580" s="37" t="s">
        <v>390</v>
      </c>
      <c r="J1580" s="38"/>
      <c r="K1580" s="25">
        <v>2.47</v>
      </c>
      <c r="L1580" s="26">
        <v>500</v>
      </c>
      <c r="M1580" s="25">
        <f>K1580/L1580*1000</f>
        <v>4.94</v>
      </c>
      <c r="O1580" s="24" t="s">
        <v>644</v>
      </c>
    </row>
    <row r="1581" spans="9:15" ht="12.75">
      <c r="I1581" s="37" t="s">
        <v>2839</v>
      </c>
      <c r="J1581" s="38"/>
      <c r="K1581" s="25">
        <v>1.99</v>
      </c>
      <c r="L1581" s="26">
        <v>375</v>
      </c>
      <c r="M1581" s="25">
        <f>K1581/L1581*1000</f>
        <v>5.306666666666667</v>
      </c>
      <c r="O1581" s="24" t="s">
        <v>2864</v>
      </c>
    </row>
    <row r="1582" spans="9:13" ht="12.75">
      <c r="I1582" s="37"/>
      <c r="J1582" s="38"/>
      <c r="K1582" s="25"/>
      <c r="L1582" s="26"/>
      <c r="M1582" s="25"/>
    </row>
    <row r="1583" spans="9:13" ht="12.75">
      <c r="I1583" s="6"/>
      <c r="J1583" s="55"/>
      <c r="K1583" s="16"/>
      <c r="L1583" s="7"/>
      <c r="M1583" s="16"/>
    </row>
    <row r="1584" spans="9:13" ht="15.75">
      <c r="I1584" s="91" t="s">
        <v>2370</v>
      </c>
      <c r="J1584" s="153"/>
      <c r="K1584" s="16"/>
      <c r="L1584" s="7"/>
      <c r="M1584" s="16"/>
    </row>
    <row r="1585" spans="2:16" s="3" customFormat="1" ht="13.5" customHeight="1">
      <c r="B1585" s="941">
        <v>12.5</v>
      </c>
      <c r="C1585" s="941">
        <v>66</v>
      </c>
      <c r="D1585" s="941">
        <v>2</v>
      </c>
      <c r="E1585" s="942"/>
      <c r="F1585" s="943">
        <v>1465</v>
      </c>
      <c r="G1585" s="196">
        <f>B1585/F1585*1000</f>
        <v>8.532423208191126</v>
      </c>
      <c r="H1585" s="1581">
        <f>M1585/F1585*100000</f>
        <v>135.15358361774744</v>
      </c>
      <c r="I1585" s="1582" t="s">
        <v>697</v>
      </c>
      <c r="J1585" s="1583"/>
      <c r="K1585" s="98">
        <v>0.99</v>
      </c>
      <c r="L1585" s="340">
        <v>500</v>
      </c>
      <c r="M1585" s="961">
        <f>K1585/L1585*1000</f>
        <v>1.98</v>
      </c>
      <c r="N1585" s="1584"/>
      <c r="O1585" s="50" t="s">
        <v>2778</v>
      </c>
      <c r="P1585" s="1585"/>
    </row>
    <row r="1586" spans="2:16" s="3" customFormat="1" ht="13.5" customHeight="1">
      <c r="B1586" s="941">
        <v>11</v>
      </c>
      <c r="C1586" s="941">
        <v>72</v>
      </c>
      <c r="D1586" s="941">
        <v>1.5</v>
      </c>
      <c r="E1586" s="942"/>
      <c r="F1586" s="943">
        <v>1487</v>
      </c>
      <c r="G1586" s="196">
        <f>B1586/F1586*1000</f>
        <v>7.397444519166107</v>
      </c>
      <c r="H1586" s="1581">
        <f>M1586/F1586*100000</f>
        <v>156.01882985877606</v>
      </c>
      <c r="I1586" s="1586" t="s">
        <v>840</v>
      </c>
      <c r="J1586" s="1583"/>
      <c r="K1586" s="98">
        <v>4.64</v>
      </c>
      <c r="L1586" s="340">
        <v>2000</v>
      </c>
      <c r="M1586" s="1587">
        <f>K1586/L1586*1000</f>
        <v>2.32</v>
      </c>
      <c r="N1586" s="1584"/>
      <c r="O1586" s="50" t="s">
        <v>1985</v>
      </c>
      <c r="P1586" s="1585"/>
    </row>
    <row r="1587" spans="2:16" s="3" customFormat="1" ht="13.5" customHeight="1">
      <c r="B1587" s="941"/>
      <c r="C1587" s="941"/>
      <c r="D1587" s="941"/>
      <c r="E1587" s="942"/>
      <c r="F1587" s="943"/>
      <c r="G1587" s="196"/>
      <c r="H1587" s="1581"/>
      <c r="I1587" s="728" t="s">
        <v>1071</v>
      </c>
      <c r="J1587" s="1583"/>
      <c r="K1587" s="98">
        <v>0.98</v>
      </c>
      <c r="L1587" s="340">
        <v>500</v>
      </c>
      <c r="M1587" s="961">
        <f>K1587/L1587*1000</f>
        <v>1.96</v>
      </c>
      <c r="N1587" s="1584"/>
      <c r="O1587" s="50" t="s">
        <v>2988</v>
      </c>
      <c r="P1587" s="1585"/>
    </row>
    <row r="1588" spans="2:16" s="3" customFormat="1" ht="13.5" customHeight="1">
      <c r="B1588" s="941">
        <v>13</v>
      </c>
      <c r="C1588" s="941">
        <v>65</v>
      </c>
      <c r="D1588" s="941">
        <v>1.9</v>
      </c>
      <c r="E1588" s="942"/>
      <c r="F1588" s="943">
        <v>1452</v>
      </c>
      <c r="G1588" s="196">
        <f aca="true" t="shared" si="123" ref="G1588:G1595">B1588/F1588*1000</f>
        <v>8.953168044077135</v>
      </c>
      <c r="H1588" s="1581">
        <f>M1588/F1588*100000</f>
        <v>136.36363636363635</v>
      </c>
      <c r="I1588" s="728" t="s">
        <v>446</v>
      </c>
      <c r="J1588" s="1583"/>
      <c r="K1588" s="98">
        <v>0.99</v>
      </c>
      <c r="L1588" s="340">
        <v>500</v>
      </c>
      <c r="M1588" s="961">
        <f aca="true" t="shared" si="124" ref="M1588:M1594">K1588/L1588*1000</f>
        <v>1.98</v>
      </c>
      <c r="N1588" s="1584"/>
      <c r="O1588" s="50" t="s">
        <v>124</v>
      </c>
      <c r="P1588" s="1585"/>
    </row>
    <row r="1589" spans="2:16" s="3" customFormat="1" ht="13.5" customHeight="1">
      <c r="B1589" s="941">
        <v>13</v>
      </c>
      <c r="C1589" s="941">
        <v>65</v>
      </c>
      <c r="D1589" s="941">
        <v>1.9</v>
      </c>
      <c r="E1589" s="942"/>
      <c r="F1589" s="943">
        <v>1452</v>
      </c>
      <c r="G1589" s="196">
        <f t="shared" si="123"/>
        <v>8.953168044077135</v>
      </c>
      <c r="H1589" s="1581">
        <f>M1589/F1589*100000</f>
        <v>108.81542699724518</v>
      </c>
      <c r="I1589" s="728" t="s">
        <v>1990</v>
      </c>
      <c r="J1589" s="1583"/>
      <c r="K1589" s="98">
        <v>0.79</v>
      </c>
      <c r="L1589" s="340">
        <v>500</v>
      </c>
      <c r="M1589" s="961">
        <f t="shared" si="124"/>
        <v>1.58</v>
      </c>
      <c r="N1589" s="1584" t="s">
        <v>2697</v>
      </c>
      <c r="O1589" s="50" t="s">
        <v>2768</v>
      </c>
      <c r="P1589" s="1585" t="s">
        <v>638</v>
      </c>
    </row>
    <row r="1590" spans="2:15" s="3" customFormat="1" ht="13.5" customHeight="1">
      <c r="B1590" s="941">
        <v>13</v>
      </c>
      <c r="C1590" s="941">
        <v>65</v>
      </c>
      <c r="D1590" s="941">
        <v>1.9</v>
      </c>
      <c r="E1590" s="942"/>
      <c r="F1590" s="943">
        <v>1452</v>
      </c>
      <c r="G1590" s="196">
        <f>B1590/F1590*1000</f>
        <v>8.953168044077135</v>
      </c>
      <c r="H1590" s="1581">
        <f>M1590/F1590*100000</f>
        <v>136.36363636363635</v>
      </c>
      <c r="I1590" s="728" t="s">
        <v>1990</v>
      </c>
      <c r="J1590" s="232"/>
      <c r="K1590" s="98">
        <v>0.99</v>
      </c>
      <c r="L1590" s="298">
        <v>500</v>
      </c>
      <c r="M1590" s="639">
        <f t="shared" si="124"/>
        <v>1.98</v>
      </c>
      <c r="O1590" s="50" t="s">
        <v>173</v>
      </c>
    </row>
    <row r="1591" spans="2:15" s="3" customFormat="1" ht="13.5" customHeight="1">
      <c r="B1591" s="941">
        <v>13</v>
      </c>
      <c r="C1591" s="941">
        <v>65</v>
      </c>
      <c r="D1591" s="941">
        <v>1.9</v>
      </c>
      <c r="E1591" s="942"/>
      <c r="F1591" s="943">
        <v>1452</v>
      </c>
      <c r="G1591" s="196">
        <f>B1591/F1591*1000</f>
        <v>8.953168044077135</v>
      </c>
      <c r="H1591" s="1581">
        <f>M1591/F1591*100000</f>
        <v>108.81542699724518</v>
      </c>
      <c r="I1591" s="728" t="s">
        <v>2588</v>
      </c>
      <c r="J1591" s="232"/>
      <c r="K1591" s="98">
        <v>0.79</v>
      </c>
      <c r="L1591" s="298">
        <v>500</v>
      </c>
      <c r="M1591" s="639">
        <f>K1591/L1591*1000</f>
        <v>1.58</v>
      </c>
      <c r="N1591" s="1584" t="s">
        <v>1362</v>
      </c>
      <c r="O1591" s="50" t="s">
        <v>2402</v>
      </c>
    </row>
    <row r="1592" spans="2:15" s="3" customFormat="1" ht="13.5" customHeight="1">
      <c r="B1592" s="941">
        <v>13</v>
      </c>
      <c r="C1592" s="941">
        <v>65</v>
      </c>
      <c r="D1592" s="941">
        <v>1.9</v>
      </c>
      <c r="E1592" s="942"/>
      <c r="F1592" s="943">
        <v>1452</v>
      </c>
      <c r="G1592" s="196">
        <f t="shared" si="123"/>
        <v>8.953168044077135</v>
      </c>
      <c r="H1592" s="1581">
        <f>M1592/F1592*100000</f>
        <v>136.36363636363635</v>
      </c>
      <c r="I1592" s="728" t="s">
        <v>2588</v>
      </c>
      <c r="J1592" s="232"/>
      <c r="K1592" s="98">
        <v>0.99</v>
      </c>
      <c r="L1592" s="298">
        <v>500</v>
      </c>
      <c r="M1592" s="639">
        <f t="shared" si="124"/>
        <v>1.98</v>
      </c>
      <c r="O1592" s="50" t="s">
        <v>173</v>
      </c>
    </row>
    <row r="1593" spans="2:15" s="3" customFormat="1" ht="13.5" customHeight="1">
      <c r="B1593" s="196">
        <v>12.5</v>
      </c>
      <c r="C1593" s="196">
        <v>68</v>
      </c>
      <c r="D1593" s="196">
        <v>2.5</v>
      </c>
      <c r="E1593" s="738"/>
      <c r="F1593" s="199">
        <v>1518</v>
      </c>
      <c r="G1593" s="196">
        <f t="shared" si="123"/>
        <v>8.234519104084322</v>
      </c>
      <c r="H1593" s="196"/>
      <c r="I1593" s="1588" t="s">
        <v>1124</v>
      </c>
      <c r="J1593" s="1589"/>
      <c r="K1593" s="53">
        <v>1.49</v>
      </c>
      <c r="L1593" s="610">
        <v>500</v>
      </c>
      <c r="M1593" s="643">
        <f t="shared" si="124"/>
        <v>2.98</v>
      </c>
      <c r="N1593" s="1590"/>
      <c r="O1593" s="50" t="s">
        <v>890</v>
      </c>
    </row>
    <row r="1594" spans="2:15" s="3" customFormat="1" ht="13.5" customHeight="1">
      <c r="B1594" s="196">
        <v>12.5</v>
      </c>
      <c r="C1594" s="196">
        <v>68</v>
      </c>
      <c r="D1594" s="196">
        <v>2.5</v>
      </c>
      <c r="E1594" s="738"/>
      <c r="F1594" s="199">
        <v>1518</v>
      </c>
      <c r="G1594" s="196">
        <f t="shared" si="123"/>
        <v>8.234519104084322</v>
      </c>
      <c r="H1594" s="196"/>
      <c r="I1594" s="485" t="s">
        <v>1548</v>
      </c>
      <c r="J1594" s="1589"/>
      <c r="K1594" s="111">
        <v>0.99</v>
      </c>
      <c r="L1594" s="989">
        <v>500</v>
      </c>
      <c r="M1594" s="625">
        <f t="shared" si="124"/>
        <v>1.98</v>
      </c>
      <c r="N1594" s="557" t="s">
        <v>1120</v>
      </c>
      <c r="O1594" s="50" t="s">
        <v>754</v>
      </c>
    </row>
    <row r="1595" spans="2:15" s="3" customFormat="1" ht="13.5" customHeight="1">
      <c r="B1595" s="196">
        <v>12.5</v>
      </c>
      <c r="C1595" s="196">
        <v>68</v>
      </c>
      <c r="D1595" s="196">
        <v>2.5</v>
      </c>
      <c r="E1595" s="738"/>
      <c r="F1595" s="199">
        <v>1518</v>
      </c>
      <c r="G1595" s="196">
        <f t="shared" si="123"/>
        <v>8.234519104084322</v>
      </c>
      <c r="H1595" s="196"/>
      <c r="I1595" s="977" t="s">
        <v>1548</v>
      </c>
      <c r="J1595" s="1591"/>
      <c r="K1595" s="12">
        <v>1.09</v>
      </c>
      <c r="L1595" s="11">
        <v>500</v>
      </c>
      <c r="M1595" s="890">
        <f aca="true" t="shared" si="125" ref="M1595:M1603">K1595/L1595*1000</f>
        <v>2.18</v>
      </c>
      <c r="O1595" s="50" t="s">
        <v>433</v>
      </c>
    </row>
    <row r="1596" spans="2:15" s="3" customFormat="1" ht="13.5" customHeight="1">
      <c r="B1596" s="196"/>
      <c r="C1596" s="196"/>
      <c r="D1596" s="196"/>
      <c r="E1596" s="738"/>
      <c r="F1596" s="199"/>
      <c r="G1596" s="196"/>
      <c r="H1596" s="196"/>
      <c r="I1596" s="977" t="s">
        <v>1186</v>
      </c>
      <c r="J1596" s="1592"/>
      <c r="K1596" s="12">
        <v>0.89</v>
      </c>
      <c r="L1596" s="11">
        <v>500</v>
      </c>
      <c r="M1596" s="890">
        <f t="shared" si="125"/>
        <v>1.78</v>
      </c>
      <c r="O1596" s="50" t="s">
        <v>2463</v>
      </c>
    </row>
    <row r="1597" spans="2:15" s="3" customFormat="1" ht="13.5" customHeight="1">
      <c r="B1597" s="196">
        <v>12.5</v>
      </c>
      <c r="C1597" s="196">
        <v>68</v>
      </c>
      <c r="D1597" s="196">
        <v>2.5</v>
      </c>
      <c r="E1597" s="738"/>
      <c r="F1597" s="199">
        <v>1518</v>
      </c>
      <c r="G1597" s="196">
        <f aca="true" t="shared" si="126" ref="G1597:G1604">B1597/F1597*1000</f>
        <v>8.234519104084322</v>
      </c>
      <c r="H1597" s="196"/>
      <c r="I1597" s="977" t="s">
        <v>1445</v>
      </c>
      <c r="J1597" s="1592"/>
      <c r="K1597" s="12">
        <v>0.89</v>
      </c>
      <c r="L1597" s="11">
        <v>500</v>
      </c>
      <c r="M1597" s="12">
        <f t="shared" si="125"/>
        <v>1.78</v>
      </c>
      <c r="O1597" s="50" t="s">
        <v>1868</v>
      </c>
    </row>
    <row r="1598" spans="2:15" s="3" customFormat="1" ht="13.5" customHeight="1">
      <c r="B1598" s="196">
        <v>12.5</v>
      </c>
      <c r="C1598" s="196">
        <v>68</v>
      </c>
      <c r="D1598" s="196">
        <v>2.5</v>
      </c>
      <c r="E1598" s="738"/>
      <c r="F1598" s="199">
        <v>1518</v>
      </c>
      <c r="G1598" s="196">
        <f t="shared" si="126"/>
        <v>8.234519104084322</v>
      </c>
      <c r="H1598" s="196"/>
      <c r="I1598" s="340" t="s">
        <v>678</v>
      </c>
      <c r="J1598" s="602"/>
      <c r="K1598" s="98">
        <v>1.09</v>
      </c>
      <c r="L1598" s="340">
        <v>500</v>
      </c>
      <c r="M1598" s="98">
        <f>K1598/L1598*1000</f>
        <v>2.18</v>
      </c>
      <c r="O1598" s="50" t="s">
        <v>2337</v>
      </c>
    </row>
    <row r="1599" spans="2:15" s="3" customFormat="1" ht="13.5" customHeight="1">
      <c r="B1599" s="196">
        <v>12.5</v>
      </c>
      <c r="C1599" s="196">
        <v>68</v>
      </c>
      <c r="D1599" s="196">
        <v>2.5</v>
      </c>
      <c r="E1599" s="738"/>
      <c r="F1599" s="199">
        <v>1518</v>
      </c>
      <c r="G1599" s="196">
        <f>B1599/F1599*1000</f>
        <v>8.234519104084322</v>
      </c>
      <c r="H1599" s="196"/>
      <c r="I1599" s="1586" t="s">
        <v>1445</v>
      </c>
      <c r="J1599" s="602"/>
      <c r="K1599" s="98">
        <v>1.29</v>
      </c>
      <c r="L1599" s="340">
        <v>500</v>
      </c>
      <c r="M1599" s="1587">
        <f>K1599/L1599*1000</f>
        <v>2.58</v>
      </c>
      <c r="N1599" s="640"/>
      <c r="O1599" s="792" t="s">
        <v>1985</v>
      </c>
    </row>
    <row r="1600" spans="2:15" s="3" customFormat="1" ht="13.5" customHeight="1">
      <c r="B1600" s="196">
        <v>12.5</v>
      </c>
      <c r="C1600" s="196">
        <v>68</v>
      </c>
      <c r="D1600" s="196">
        <v>2.5</v>
      </c>
      <c r="E1600" s="738"/>
      <c r="F1600" s="199">
        <v>1518</v>
      </c>
      <c r="G1600" s="196">
        <f t="shared" si="126"/>
        <v>8.234519104084322</v>
      </c>
      <c r="H1600" s="196"/>
      <c r="I1600" s="485" t="s">
        <v>1445</v>
      </c>
      <c r="J1600" s="729"/>
      <c r="K1600" s="111">
        <v>0.99</v>
      </c>
      <c r="L1600" s="989">
        <v>500</v>
      </c>
      <c r="M1600" s="111">
        <f t="shared" si="125"/>
        <v>1.98</v>
      </c>
      <c r="O1600" s="50" t="s">
        <v>1607</v>
      </c>
    </row>
    <row r="1601" spans="2:15" s="3" customFormat="1" ht="13.5" customHeight="1">
      <c r="B1601" s="196">
        <v>13</v>
      </c>
      <c r="C1601" s="196">
        <v>62.2</v>
      </c>
      <c r="D1601" s="196">
        <v>2.6</v>
      </c>
      <c r="E1601" s="738"/>
      <c r="F1601" s="199">
        <v>1375</v>
      </c>
      <c r="G1601" s="196">
        <f t="shared" si="126"/>
        <v>9.454545454545455</v>
      </c>
      <c r="H1601" s="196"/>
      <c r="I1601" s="728" t="s">
        <v>1349</v>
      </c>
      <c r="J1601" s="1593" t="s">
        <v>2304</v>
      </c>
      <c r="K1601" s="1594">
        <v>0.99</v>
      </c>
      <c r="L1601" s="298">
        <v>500</v>
      </c>
      <c r="M1601" s="8">
        <f t="shared" si="125"/>
        <v>1.98</v>
      </c>
      <c r="O1601" s="50" t="s">
        <v>1910</v>
      </c>
    </row>
    <row r="1602" spans="2:15" s="3" customFormat="1" ht="13.5" customHeight="1">
      <c r="B1602" s="196">
        <v>12</v>
      </c>
      <c r="C1602" s="196">
        <v>67</v>
      </c>
      <c r="D1602" s="196">
        <v>1.7</v>
      </c>
      <c r="E1602" s="738"/>
      <c r="F1602" s="199">
        <v>1466</v>
      </c>
      <c r="G1602" s="196">
        <f>B1602/F1602*1000</f>
        <v>8.185538881309686</v>
      </c>
      <c r="H1602" s="196"/>
      <c r="I1602" s="728" t="s">
        <v>2520</v>
      </c>
      <c r="J1602" s="1400"/>
      <c r="K1602" s="95">
        <v>1.09</v>
      </c>
      <c r="L1602" s="298">
        <v>500</v>
      </c>
      <c r="M1602" s="8">
        <f>K1602/L1602*1000</f>
        <v>2.18</v>
      </c>
      <c r="O1602" s="50" t="s">
        <v>1669</v>
      </c>
    </row>
    <row r="1603" spans="2:15" s="3" customFormat="1" ht="13.5" customHeight="1">
      <c r="B1603" s="196">
        <v>12</v>
      </c>
      <c r="C1603" s="196">
        <v>68</v>
      </c>
      <c r="D1603" s="196">
        <v>1.9</v>
      </c>
      <c r="E1603" s="738"/>
      <c r="F1603" s="199">
        <v>1485</v>
      </c>
      <c r="G1603" s="196">
        <f t="shared" si="126"/>
        <v>8.080808080808081</v>
      </c>
      <c r="H1603" s="196"/>
      <c r="I1603" s="728" t="s">
        <v>265</v>
      </c>
      <c r="J1603" s="1400"/>
      <c r="K1603" s="95">
        <v>1.2</v>
      </c>
      <c r="L1603" s="298">
        <v>500</v>
      </c>
      <c r="M1603" s="8">
        <f t="shared" si="125"/>
        <v>2.4</v>
      </c>
      <c r="O1603" s="50" t="s">
        <v>3121</v>
      </c>
    </row>
    <row r="1604" spans="2:15" s="3" customFormat="1" ht="13.5" customHeight="1">
      <c r="B1604" s="196">
        <v>12</v>
      </c>
      <c r="C1604" s="196">
        <v>68</v>
      </c>
      <c r="D1604" s="196">
        <v>1.9</v>
      </c>
      <c r="E1604" s="738"/>
      <c r="F1604" s="199">
        <v>1485</v>
      </c>
      <c r="G1604" s="196">
        <f t="shared" si="126"/>
        <v>8.080808080808081</v>
      </c>
      <c r="H1604" s="196"/>
      <c r="I1604" s="977" t="s">
        <v>265</v>
      </c>
      <c r="J1604" s="1595"/>
      <c r="K1604" s="12">
        <v>0.99</v>
      </c>
      <c r="L1604" s="11">
        <v>500</v>
      </c>
      <c r="M1604" s="12">
        <f aca="true" t="shared" si="127" ref="M1604:M1609">K1604/L1604*1000</f>
        <v>1.98</v>
      </c>
      <c r="O1604" s="50" t="s">
        <v>289</v>
      </c>
    </row>
    <row r="1605" spans="2:15" s="3" customFormat="1" ht="12.75" customHeight="1">
      <c r="B1605" s="196"/>
      <c r="C1605" s="196"/>
      <c r="D1605" s="196"/>
      <c r="E1605" s="738"/>
      <c r="F1605" s="199"/>
      <c r="G1605" s="196"/>
      <c r="H1605" s="196"/>
      <c r="I1605" s="303" t="s">
        <v>654</v>
      </c>
      <c r="J1605" s="232"/>
      <c r="K1605" s="95">
        <v>1</v>
      </c>
      <c r="L1605" s="298">
        <v>500</v>
      </c>
      <c r="M1605" s="8">
        <f t="shared" si="127"/>
        <v>2</v>
      </c>
      <c r="O1605" s="50" t="s">
        <v>692</v>
      </c>
    </row>
    <row r="1606" spans="2:15" s="3" customFormat="1" ht="12.75" customHeight="1">
      <c r="B1606" s="196">
        <v>13</v>
      </c>
      <c r="C1606" s="196">
        <v>71.2</v>
      </c>
      <c r="D1606" s="196">
        <v>2.6</v>
      </c>
      <c r="E1606" s="738"/>
      <c r="F1606" s="199">
        <v>1528</v>
      </c>
      <c r="G1606" s="196">
        <f>B1606/F1606*1000</f>
        <v>8.507853403141361</v>
      </c>
      <c r="H1606" s="196"/>
      <c r="I1606" s="728" t="s">
        <v>1626</v>
      </c>
      <c r="J1606" s="1589"/>
      <c r="K1606" s="95">
        <v>1.17</v>
      </c>
      <c r="L1606" s="298">
        <v>500</v>
      </c>
      <c r="M1606" s="8">
        <f t="shared" si="127"/>
        <v>2.34</v>
      </c>
      <c r="O1606" s="50" t="s">
        <v>2802</v>
      </c>
    </row>
    <row r="1607" spans="2:15" s="3" customFormat="1" ht="12.75" customHeight="1">
      <c r="B1607" s="196"/>
      <c r="C1607" s="196"/>
      <c r="D1607" s="196"/>
      <c r="E1607" s="738"/>
      <c r="F1607" s="199"/>
      <c r="G1607" s="196"/>
      <c r="H1607" s="196"/>
      <c r="I1607" s="485" t="s">
        <v>2283</v>
      </c>
      <c r="J1607" s="1589"/>
      <c r="K1607" s="111">
        <v>1.07</v>
      </c>
      <c r="L1607" s="989">
        <v>500</v>
      </c>
      <c r="M1607" s="111">
        <f t="shared" si="127"/>
        <v>2.14</v>
      </c>
      <c r="O1607" s="50" t="s">
        <v>326</v>
      </c>
    </row>
    <row r="1608" spans="2:15" s="3" customFormat="1" ht="12.75" customHeight="1">
      <c r="B1608" s="196">
        <v>13.1</v>
      </c>
      <c r="C1608" s="196">
        <v>64.7</v>
      </c>
      <c r="D1608" s="196">
        <v>1.9</v>
      </c>
      <c r="E1608" s="738"/>
      <c r="F1608" s="199">
        <v>1393</v>
      </c>
      <c r="G1608" s="196">
        <f>B1608/F1608*1000</f>
        <v>9.40416367552046</v>
      </c>
      <c r="H1608" s="196"/>
      <c r="I1608" s="728" t="s">
        <v>2283</v>
      </c>
      <c r="J1608" s="1583"/>
      <c r="K1608" s="98">
        <v>1.19</v>
      </c>
      <c r="L1608" s="340">
        <v>500</v>
      </c>
      <c r="M1608" s="98">
        <f t="shared" si="127"/>
        <v>2.38</v>
      </c>
      <c r="O1608" s="50" t="s">
        <v>2802</v>
      </c>
    </row>
    <row r="1609" spans="2:15" s="3" customFormat="1" ht="12.75" customHeight="1">
      <c r="B1609" s="196">
        <v>13</v>
      </c>
      <c r="C1609" s="196">
        <v>71.2</v>
      </c>
      <c r="D1609" s="196">
        <v>2.6</v>
      </c>
      <c r="E1609" s="738"/>
      <c r="F1609" s="199">
        <v>1528</v>
      </c>
      <c r="G1609" s="196">
        <f>B1609/F1609*1000</f>
        <v>8.507853403141361</v>
      </c>
      <c r="H1609" s="196"/>
      <c r="I1609" s="1596" t="s">
        <v>565</v>
      </c>
      <c r="J1609" s="1597"/>
      <c r="K1609" s="914">
        <v>1.2</v>
      </c>
      <c r="L1609" s="298">
        <v>500</v>
      </c>
      <c r="M1609" s="8">
        <f t="shared" si="127"/>
        <v>2.4</v>
      </c>
      <c r="O1609" s="722" t="s">
        <v>2451</v>
      </c>
    </row>
    <row r="1610" spans="9:13" ht="12.75" customHeight="1">
      <c r="I1610" s="119"/>
      <c r="J1610" s="160"/>
      <c r="K1610" s="18"/>
      <c r="L1610" s="17"/>
      <c r="M1610" s="18"/>
    </row>
    <row r="1611" spans="9:14" ht="12.75">
      <c r="I1611" s="2"/>
      <c r="J1611" s="151"/>
      <c r="K1611" s="1"/>
      <c r="L1611" s="1"/>
      <c r="M1611" s="5"/>
      <c r="N1611" s="151"/>
    </row>
    <row r="1612" spans="9:14" ht="15.75">
      <c r="I1612" s="91" t="s">
        <v>2117</v>
      </c>
      <c r="J1612" s="151"/>
      <c r="K1612" s="1"/>
      <c r="L1612" s="1"/>
      <c r="M1612" s="5"/>
      <c r="N1612" s="151"/>
    </row>
    <row r="1613" spans="9:15" ht="12.75">
      <c r="I1613" s="31" t="s">
        <v>3196</v>
      </c>
      <c r="J1613" s="151"/>
      <c r="K1613" s="1519">
        <v>2.95</v>
      </c>
      <c r="L1613" s="1519">
        <v>250</v>
      </c>
      <c r="M1613" s="1518">
        <f>K1613/L1613*1000</f>
        <v>11.8</v>
      </c>
      <c r="N1613" s="151"/>
      <c r="O1613" s="716" t="s">
        <v>3144</v>
      </c>
    </row>
    <row r="1614" spans="9:15" ht="12.75">
      <c r="I1614" s="31" t="s">
        <v>3195</v>
      </c>
      <c r="J1614" s="151"/>
      <c r="K1614" s="1519">
        <v>2.55</v>
      </c>
      <c r="L1614" s="1519">
        <v>250</v>
      </c>
      <c r="M1614" s="5">
        <f aca="true" t="shared" si="128" ref="M1614:M1621">K1614/L1614*1000</f>
        <v>10.2</v>
      </c>
      <c r="N1614" s="151"/>
      <c r="O1614" s="88" t="s">
        <v>3144</v>
      </c>
    </row>
    <row r="1615" spans="9:15" ht="12.75">
      <c r="I1615" s="1517" t="s">
        <v>3149</v>
      </c>
      <c r="J1615" s="151"/>
      <c r="K1615" s="32"/>
      <c r="L1615" s="1"/>
      <c r="M1615" s="1518">
        <v>20</v>
      </c>
      <c r="N1615" s="151"/>
      <c r="O1615" s="716" t="s">
        <v>2177</v>
      </c>
    </row>
    <row r="1616" spans="9:15" ht="12.75">
      <c r="I1616" s="1520" t="s">
        <v>3150</v>
      </c>
      <c r="J1616" s="151"/>
      <c r="K1616" s="32">
        <v>24.9</v>
      </c>
      <c r="L1616" s="1">
        <v>850</v>
      </c>
      <c r="M1616" s="1518">
        <f t="shared" si="128"/>
        <v>29.294117647058822</v>
      </c>
      <c r="N1616" s="151"/>
      <c r="O1616" s="24" t="s">
        <v>175</v>
      </c>
    </row>
    <row r="1617" spans="9:15" ht="12.75">
      <c r="I1617" s="71" t="s">
        <v>2291</v>
      </c>
      <c r="J1617" s="158">
        <v>17.99</v>
      </c>
      <c r="K1617" s="116">
        <f>J1617*0.97</f>
        <v>17.4503</v>
      </c>
      <c r="L1617" s="28">
        <v>1000</v>
      </c>
      <c r="M1617" s="29">
        <f t="shared" si="128"/>
        <v>17.4503</v>
      </c>
      <c r="N1617" s="151"/>
      <c r="O1617" s="24" t="s">
        <v>2070</v>
      </c>
    </row>
    <row r="1618" spans="9:15" ht="12.75">
      <c r="I1618" s="71" t="s">
        <v>2291</v>
      </c>
      <c r="J1618" s="158">
        <v>16.99</v>
      </c>
      <c r="K1618" s="116">
        <f>J1618*0.97</f>
        <v>16.4803</v>
      </c>
      <c r="L1618" s="28">
        <v>1000</v>
      </c>
      <c r="M1618" s="29">
        <f t="shared" si="128"/>
        <v>16.4803</v>
      </c>
      <c r="N1618" s="151"/>
      <c r="O1618" s="24" t="s">
        <v>674</v>
      </c>
    </row>
    <row r="1619" spans="9:15" ht="12.75">
      <c r="I1619" s="2" t="s">
        <v>2538</v>
      </c>
      <c r="J1619" s="151"/>
      <c r="K1619" s="32">
        <v>7.69</v>
      </c>
      <c r="L1619" s="1">
        <v>500</v>
      </c>
      <c r="M1619" s="5">
        <f t="shared" si="128"/>
        <v>15.38</v>
      </c>
      <c r="N1619" s="151"/>
      <c r="O1619" s="24" t="s">
        <v>337</v>
      </c>
    </row>
    <row r="1620" spans="9:15" ht="12.75">
      <c r="I1620" s="31" t="s">
        <v>1441</v>
      </c>
      <c r="J1620" s="151"/>
      <c r="K1620" s="32">
        <v>7.89</v>
      </c>
      <c r="L1620" s="1">
        <v>500</v>
      </c>
      <c r="M1620" s="5">
        <f t="shared" si="128"/>
        <v>15.78</v>
      </c>
      <c r="N1620" s="151"/>
      <c r="O1620" s="24" t="s">
        <v>551</v>
      </c>
    </row>
    <row r="1621" spans="9:15" ht="12.75">
      <c r="I1621" s="31" t="s">
        <v>1840</v>
      </c>
      <c r="J1621" s="151"/>
      <c r="K1621" s="1">
        <v>8.87</v>
      </c>
      <c r="L1621" s="1">
        <v>1000</v>
      </c>
      <c r="M1621" s="5">
        <f t="shared" si="128"/>
        <v>8.87</v>
      </c>
      <c r="O1621" s="24" t="s">
        <v>2973</v>
      </c>
    </row>
    <row r="1622" spans="9:13" ht="12.75">
      <c r="I1622" s="2"/>
      <c r="J1622" s="151"/>
      <c r="K1622" s="1"/>
      <c r="L1622" s="1"/>
      <c r="M1622" s="5"/>
    </row>
    <row r="1623" ht="12.75"/>
    <row r="1624" spans="9:10" ht="18">
      <c r="I1624" s="355" t="s">
        <v>2640</v>
      </c>
      <c r="J1624" s="490"/>
    </row>
    <row r="1625" spans="1:15" s="391" customFormat="1" ht="12.75">
      <c r="A1625" s="471"/>
      <c r="B1625" s="441"/>
      <c r="C1625" s="441"/>
      <c r="D1625" s="441"/>
      <c r="E1625" s="748"/>
      <c r="F1625" s="442"/>
      <c r="G1625" s="441"/>
      <c r="H1625" s="441"/>
      <c r="I1625" s="97" t="s">
        <v>2800</v>
      </c>
      <c r="J1625" s="41"/>
      <c r="K1625" s="41">
        <v>6.29</v>
      </c>
      <c r="L1625" s="42">
        <v>500</v>
      </c>
      <c r="M1625" s="41">
        <f>K1625/L1625*1000</f>
        <v>12.58</v>
      </c>
      <c r="O1625" s="88" t="s">
        <v>3134</v>
      </c>
    </row>
    <row r="1626" spans="1:15" s="391" customFormat="1" ht="12.75">
      <c r="A1626" s="471"/>
      <c r="B1626" s="441"/>
      <c r="C1626" s="441"/>
      <c r="D1626" s="441"/>
      <c r="E1626" s="748"/>
      <c r="F1626" s="442"/>
      <c r="G1626" s="441"/>
      <c r="H1626" s="441"/>
      <c r="I1626" s="1475" t="s">
        <v>2800</v>
      </c>
      <c r="J1626" s="1476"/>
      <c r="K1626" s="1476">
        <v>6.29</v>
      </c>
      <c r="L1626" s="1477">
        <v>500</v>
      </c>
      <c r="M1626" s="1476">
        <f>K1626/L1626*1000</f>
        <v>12.58</v>
      </c>
      <c r="O1626" s="818" t="s">
        <v>1424</v>
      </c>
    </row>
    <row r="1627" spans="1:15" s="391" customFormat="1" ht="12.75">
      <c r="A1627" s="471"/>
      <c r="B1627" s="441"/>
      <c r="C1627" s="441"/>
      <c r="D1627" s="441"/>
      <c r="E1627" s="748"/>
      <c r="F1627" s="442"/>
      <c r="G1627" s="441"/>
      <c r="H1627" s="441"/>
      <c r="I1627" s="86" t="s">
        <v>973</v>
      </c>
      <c r="J1627" s="16"/>
      <c r="K1627" s="16">
        <v>3.35</v>
      </c>
      <c r="L1627" s="7">
        <v>500</v>
      </c>
      <c r="M1627" s="16">
        <f>K1627/L1627*1000</f>
        <v>6.7</v>
      </c>
      <c r="O1627" s="716" t="s">
        <v>2384</v>
      </c>
    </row>
    <row r="1628" spans="1:15" s="391" customFormat="1" ht="12.75">
      <c r="A1628" s="471"/>
      <c r="B1628" s="441"/>
      <c r="C1628" s="441"/>
      <c r="D1628" s="441"/>
      <c r="E1628" s="748"/>
      <c r="F1628" s="442"/>
      <c r="G1628" s="441"/>
      <c r="H1628" s="441"/>
      <c r="I1628" s="15" t="s">
        <v>2641</v>
      </c>
      <c r="J1628" s="16"/>
      <c r="K1628" s="16">
        <v>5.99</v>
      </c>
      <c r="L1628" s="7">
        <v>1000</v>
      </c>
      <c r="M1628" s="16">
        <f aca="true" t="shared" si="129" ref="M1628:M1634">K1628/L1628*1000</f>
        <v>5.99</v>
      </c>
      <c r="O1628" s="448" t="s">
        <v>175</v>
      </c>
    </row>
    <row r="1629" spans="9:15" ht="12.75">
      <c r="I1629" s="40" t="s">
        <v>974</v>
      </c>
      <c r="J1629" s="41"/>
      <c r="K1629" s="41">
        <v>5.04</v>
      </c>
      <c r="L1629" s="42">
        <v>500</v>
      </c>
      <c r="M1629" s="41">
        <f>K1629/L1629*1000</f>
        <v>10.08</v>
      </c>
      <c r="O1629" s="716" t="s">
        <v>2384</v>
      </c>
    </row>
    <row r="1630" spans="9:15" ht="12.75">
      <c r="I1630" s="209" t="s">
        <v>2639</v>
      </c>
      <c r="J1630" s="276"/>
      <c r="K1630" s="276">
        <v>5.99</v>
      </c>
      <c r="L1630" s="297">
        <v>500</v>
      </c>
      <c r="M1630" s="276">
        <f t="shared" si="129"/>
        <v>11.98</v>
      </c>
      <c r="O1630" s="448" t="s">
        <v>2778</v>
      </c>
    </row>
    <row r="1631" spans="9:15" ht="12.75">
      <c r="I1631" s="40" t="s">
        <v>2397</v>
      </c>
      <c r="J1631" s="41"/>
      <c r="K1631" s="41">
        <v>4.5</v>
      </c>
      <c r="L1631" s="42">
        <v>500</v>
      </c>
      <c r="M1631" s="41">
        <f t="shared" si="129"/>
        <v>9</v>
      </c>
      <c r="O1631" s="448" t="s">
        <v>3013</v>
      </c>
    </row>
    <row r="1632" spans="9:15" ht="12.75">
      <c r="I1632" s="17" t="s">
        <v>2397</v>
      </c>
      <c r="J1632" s="18"/>
      <c r="K1632" s="18">
        <v>3.99</v>
      </c>
      <c r="L1632" s="19">
        <v>500</v>
      </c>
      <c r="M1632" s="18">
        <f t="shared" si="129"/>
        <v>7.980000000000001</v>
      </c>
      <c r="O1632" s="448" t="s">
        <v>124</v>
      </c>
    </row>
    <row r="1633" spans="1:15" s="391" customFormat="1" ht="12.75">
      <c r="A1633" s="471"/>
      <c r="B1633" s="441"/>
      <c r="C1633" s="441"/>
      <c r="D1633" s="441"/>
      <c r="E1633" s="748"/>
      <c r="F1633" s="442"/>
      <c r="G1633" s="441"/>
      <c r="H1633" s="441"/>
      <c r="I1633" s="59" t="s">
        <v>3086</v>
      </c>
      <c r="J1633" s="62"/>
      <c r="K1633" s="62">
        <v>4.29</v>
      </c>
      <c r="L1633" s="447">
        <v>500</v>
      </c>
      <c r="M1633" s="41">
        <f t="shared" si="129"/>
        <v>8.58</v>
      </c>
      <c r="O1633" s="818" t="s">
        <v>3013</v>
      </c>
    </row>
    <row r="1634" spans="1:15" s="391" customFormat="1" ht="12.75">
      <c r="A1634" s="471"/>
      <c r="B1634" s="441"/>
      <c r="C1634" s="441"/>
      <c r="D1634" s="441"/>
      <c r="E1634" s="748"/>
      <c r="F1634" s="442"/>
      <c r="G1634" s="441"/>
      <c r="H1634" s="441"/>
      <c r="I1634" s="97" t="s">
        <v>2811</v>
      </c>
      <c r="J1634" s="41"/>
      <c r="K1634" s="41">
        <v>4.99</v>
      </c>
      <c r="L1634" s="42">
        <v>500</v>
      </c>
      <c r="M1634" s="41">
        <f t="shared" si="129"/>
        <v>9.98</v>
      </c>
      <c r="O1634" s="818" t="s">
        <v>848</v>
      </c>
    </row>
    <row r="1635" spans="1:15" s="391" customFormat="1" ht="12.75">
      <c r="A1635" s="471"/>
      <c r="B1635" s="441"/>
      <c r="C1635" s="441"/>
      <c r="D1635" s="441"/>
      <c r="E1635" s="748"/>
      <c r="F1635" s="442"/>
      <c r="G1635" s="441"/>
      <c r="H1635" s="441"/>
      <c r="I1635" s="15" t="s">
        <v>1808</v>
      </c>
      <c r="J1635" s="16"/>
      <c r="K1635" s="16"/>
      <c r="L1635" s="7"/>
      <c r="M1635" s="16">
        <v>4.29</v>
      </c>
      <c r="O1635" s="716" t="s">
        <v>2768</v>
      </c>
    </row>
    <row r="1636" spans="1:15" s="391" customFormat="1" ht="12.75">
      <c r="A1636" s="471"/>
      <c r="B1636" s="441"/>
      <c r="C1636" s="441"/>
      <c r="D1636" s="441"/>
      <c r="E1636" s="748"/>
      <c r="F1636" s="442"/>
      <c r="G1636" s="441"/>
      <c r="H1636" s="441"/>
      <c r="I1636" s="15" t="s">
        <v>891</v>
      </c>
      <c r="J1636" s="16"/>
      <c r="K1636" s="16"/>
      <c r="L1636" s="7"/>
      <c r="M1636" s="16">
        <v>4.29</v>
      </c>
      <c r="O1636" s="448" t="s">
        <v>412</v>
      </c>
    </row>
    <row r="1637" spans="1:15" s="391" customFormat="1" ht="12.75">
      <c r="A1637" s="471"/>
      <c r="B1637" s="441"/>
      <c r="C1637" s="441"/>
      <c r="D1637" s="441"/>
      <c r="E1637" s="748"/>
      <c r="F1637" s="442"/>
      <c r="G1637" s="441"/>
      <c r="H1637" s="441"/>
      <c r="I1637" s="40" t="s">
        <v>3086</v>
      </c>
      <c r="J1637" s="321"/>
      <c r="K1637" s="321">
        <v>5.99</v>
      </c>
      <c r="L1637" s="447">
        <v>500</v>
      </c>
      <c r="M1637" s="1065">
        <f>K1637/L1637*1000</f>
        <v>11.98</v>
      </c>
      <c r="O1637" s="448" t="s">
        <v>2768</v>
      </c>
    </row>
    <row r="1638" spans="2:15" s="859" customFormat="1" ht="11.25">
      <c r="B1638" s="853"/>
      <c r="C1638" s="853"/>
      <c r="D1638" s="853"/>
      <c r="E1638" s="854"/>
      <c r="F1638" s="855"/>
      <c r="G1638" s="853"/>
      <c r="H1638" s="853"/>
      <c r="I1638" s="856" t="s">
        <v>58</v>
      </c>
      <c r="J1638" s="857"/>
      <c r="K1638" s="858"/>
      <c r="M1638" s="860">
        <v>15</v>
      </c>
      <c r="N1638" s="861"/>
      <c r="O1638" s="862" t="s">
        <v>36</v>
      </c>
    </row>
    <row r="1639" spans="2:15" s="859" customFormat="1" ht="11.25">
      <c r="B1639" s="853"/>
      <c r="C1639" s="853"/>
      <c r="D1639" s="853"/>
      <c r="E1639" s="854"/>
      <c r="F1639" s="855"/>
      <c r="G1639" s="853"/>
      <c r="H1639" s="853"/>
      <c r="I1639" s="856" t="s">
        <v>910</v>
      </c>
      <c r="J1639" s="860">
        <v>5.99</v>
      </c>
      <c r="K1639" s="857">
        <f>J1639*0.99</f>
        <v>5.9301</v>
      </c>
      <c r="L1639" s="863">
        <v>500</v>
      </c>
      <c r="M1639" s="857">
        <f aca="true" t="shared" si="130" ref="M1639:M1646">K1639/L1639*1000</f>
        <v>11.8602</v>
      </c>
      <c r="O1639" s="862" t="s">
        <v>727</v>
      </c>
    </row>
    <row r="1640" spans="2:15" s="859" customFormat="1" ht="11.25">
      <c r="B1640" s="853"/>
      <c r="C1640" s="853"/>
      <c r="D1640" s="853"/>
      <c r="E1640" s="854"/>
      <c r="F1640" s="855"/>
      <c r="G1640" s="853"/>
      <c r="H1640" s="853"/>
      <c r="I1640" s="864" t="s">
        <v>911</v>
      </c>
      <c r="J1640" s="857">
        <v>12.99</v>
      </c>
      <c r="K1640" s="857">
        <f>J1640*0.99</f>
        <v>12.860100000000001</v>
      </c>
      <c r="L1640" s="863">
        <v>1000</v>
      </c>
      <c r="M1640" s="857">
        <f t="shared" si="130"/>
        <v>12.860100000000001</v>
      </c>
      <c r="O1640" s="865" t="s">
        <v>727</v>
      </c>
    </row>
    <row r="1641" spans="2:15" s="859" customFormat="1" ht="11.25">
      <c r="B1641" s="853"/>
      <c r="C1641" s="853"/>
      <c r="D1641" s="853"/>
      <c r="E1641" s="854"/>
      <c r="F1641" s="855"/>
      <c r="G1641" s="853"/>
      <c r="H1641" s="853"/>
      <c r="I1641" s="866" t="s">
        <v>1644</v>
      </c>
      <c r="J1641" s="867">
        <v>4.99</v>
      </c>
      <c r="K1641" s="857">
        <f>J1641*0.99</f>
        <v>4.9401</v>
      </c>
      <c r="L1641" s="863">
        <v>500</v>
      </c>
      <c r="M1641" s="857">
        <f t="shared" si="130"/>
        <v>9.8802</v>
      </c>
      <c r="O1641" s="862" t="s">
        <v>727</v>
      </c>
    </row>
    <row r="1642" spans="2:15" s="859" customFormat="1" ht="11.25">
      <c r="B1642" s="853"/>
      <c r="C1642" s="853"/>
      <c r="D1642" s="853"/>
      <c r="E1642" s="854"/>
      <c r="F1642" s="855"/>
      <c r="G1642" s="853"/>
      <c r="H1642" s="853"/>
      <c r="I1642" s="1191" t="s">
        <v>2098</v>
      </c>
      <c r="J1642" s="1203"/>
      <c r="K1642" s="1193"/>
      <c r="L1642" s="1194"/>
      <c r="M1642" s="1193">
        <v>3.8</v>
      </c>
      <c r="N1642" s="1194"/>
      <c r="O1642" s="1204" t="s">
        <v>1607</v>
      </c>
    </row>
    <row r="1643" spans="2:15" s="859" customFormat="1" ht="12.75">
      <c r="B1643" s="853"/>
      <c r="C1643" s="853"/>
      <c r="D1643" s="853"/>
      <c r="E1643" s="854"/>
      <c r="F1643" s="855"/>
      <c r="G1643" s="853"/>
      <c r="H1643" s="853"/>
      <c r="I1643" s="635" t="s">
        <v>3086</v>
      </c>
      <c r="J1643" s="809"/>
      <c r="K1643" s="809">
        <v>4.29</v>
      </c>
      <c r="L1643" s="1308">
        <v>500</v>
      </c>
      <c r="M1643" s="809">
        <f>K1643/L1643*1000</f>
        <v>8.58</v>
      </c>
      <c r="N1643" s="391"/>
      <c r="O1643" s="392" t="s">
        <v>1030</v>
      </c>
    </row>
    <row r="1644" spans="2:15" s="859" customFormat="1" ht="11.25">
      <c r="B1644" s="853"/>
      <c r="C1644" s="853"/>
      <c r="D1644" s="853"/>
      <c r="E1644" s="854"/>
      <c r="F1644" s="855"/>
      <c r="G1644" s="853"/>
      <c r="H1644" s="853"/>
      <c r="I1644" s="868" t="s">
        <v>3086</v>
      </c>
      <c r="J1644" s="857"/>
      <c r="K1644" s="857">
        <v>4.99</v>
      </c>
      <c r="L1644" s="863">
        <v>500</v>
      </c>
      <c r="M1644" s="857">
        <f t="shared" si="130"/>
        <v>9.98</v>
      </c>
      <c r="O1644" s="862" t="s">
        <v>1489</v>
      </c>
    </row>
    <row r="1645" spans="2:15" s="859" customFormat="1" ht="11.25">
      <c r="B1645" s="853"/>
      <c r="C1645" s="853"/>
      <c r="D1645" s="853"/>
      <c r="E1645" s="854"/>
      <c r="F1645" s="855"/>
      <c r="G1645" s="853"/>
      <c r="H1645" s="853"/>
      <c r="I1645" s="869" t="s">
        <v>3086</v>
      </c>
      <c r="J1645" s="870"/>
      <c r="K1645" s="870">
        <v>5.49</v>
      </c>
      <c r="L1645" s="871">
        <v>500</v>
      </c>
      <c r="M1645" s="870">
        <f t="shared" si="130"/>
        <v>10.98</v>
      </c>
      <c r="O1645" s="862" t="s">
        <v>1494</v>
      </c>
    </row>
    <row r="1646" spans="2:15" s="859" customFormat="1" ht="11.25">
      <c r="B1646" s="853"/>
      <c r="C1646" s="853"/>
      <c r="D1646" s="853"/>
      <c r="E1646" s="854"/>
      <c r="F1646" s="855"/>
      <c r="G1646" s="853"/>
      <c r="H1646" s="853"/>
      <c r="I1646" s="869" t="s">
        <v>3086</v>
      </c>
      <c r="J1646" s="870"/>
      <c r="K1646" s="870">
        <v>5.79</v>
      </c>
      <c r="L1646" s="871">
        <v>500</v>
      </c>
      <c r="M1646" s="870">
        <f t="shared" si="130"/>
        <v>11.58</v>
      </c>
      <c r="O1646" s="862" t="s">
        <v>2120</v>
      </c>
    </row>
    <row r="1647" spans="2:15" s="859" customFormat="1" ht="11.25">
      <c r="B1647" s="853"/>
      <c r="C1647" s="853"/>
      <c r="D1647" s="853"/>
      <c r="E1647" s="854"/>
      <c r="F1647" s="855"/>
      <c r="G1647" s="853"/>
      <c r="H1647" s="853"/>
      <c r="I1647" s="869" t="s">
        <v>3086</v>
      </c>
      <c r="J1647" s="870"/>
      <c r="K1647" s="870">
        <v>5.99</v>
      </c>
      <c r="L1647" s="871">
        <v>500</v>
      </c>
      <c r="M1647" s="870">
        <f aca="true" t="shared" si="131" ref="M1647:M1657">K1647/L1647*1000</f>
        <v>11.98</v>
      </c>
      <c r="O1647" s="862" t="s">
        <v>2120</v>
      </c>
    </row>
    <row r="1648" spans="2:15" s="859" customFormat="1" ht="11.25">
      <c r="B1648" s="853"/>
      <c r="C1648" s="853"/>
      <c r="D1648" s="853"/>
      <c r="E1648" s="854"/>
      <c r="F1648" s="855"/>
      <c r="G1648" s="853"/>
      <c r="H1648" s="853"/>
      <c r="I1648" s="872" t="s">
        <v>3086</v>
      </c>
      <c r="J1648" s="870"/>
      <c r="K1648" s="870">
        <v>5.99</v>
      </c>
      <c r="L1648" s="871">
        <v>500</v>
      </c>
      <c r="M1648" s="870">
        <f t="shared" si="131"/>
        <v>11.98</v>
      </c>
      <c r="O1648" s="862" t="s">
        <v>2622</v>
      </c>
    </row>
    <row r="1649" spans="2:15" s="859" customFormat="1" ht="11.25">
      <c r="B1649" s="853"/>
      <c r="C1649" s="853"/>
      <c r="D1649" s="853"/>
      <c r="E1649" s="854"/>
      <c r="F1649" s="855"/>
      <c r="G1649" s="853"/>
      <c r="H1649" s="853"/>
      <c r="I1649" s="869" t="s">
        <v>3086</v>
      </c>
      <c r="J1649" s="870"/>
      <c r="K1649" s="870">
        <v>5.49</v>
      </c>
      <c r="L1649" s="871">
        <v>500</v>
      </c>
      <c r="M1649" s="870">
        <f t="shared" si="131"/>
        <v>10.98</v>
      </c>
      <c r="O1649" s="862" t="s">
        <v>1226</v>
      </c>
    </row>
    <row r="1650" spans="2:15" s="859" customFormat="1" ht="11.25">
      <c r="B1650" s="853"/>
      <c r="C1650" s="853"/>
      <c r="D1650" s="853"/>
      <c r="E1650" s="854"/>
      <c r="F1650" s="855"/>
      <c r="G1650" s="853"/>
      <c r="H1650" s="853"/>
      <c r="I1650" s="869" t="s">
        <v>3086</v>
      </c>
      <c r="J1650" s="870"/>
      <c r="K1650" s="870">
        <v>4.49</v>
      </c>
      <c r="L1650" s="871">
        <v>500</v>
      </c>
      <c r="M1650" s="870">
        <f t="shared" si="131"/>
        <v>8.98</v>
      </c>
      <c r="O1650" s="862" t="s">
        <v>1930</v>
      </c>
    </row>
    <row r="1651" spans="2:15" s="859" customFormat="1" ht="11.25">
      <c r="B1651" s="853"/>
      <c r="C1651" s="853"/>
      <c r="D1651" s="853"/>
      <c r="E1651" s="854"/>
      <c r="F1651" s="855"/>
      <c r="G1651" s="853"/>
      <c r="H1651" s="853"/>
      <c r="I1651" s="868" t="s">
        <v>57</v>
      </c>
      <c r="J1651" s="873"/>
      <c r="K1651" s="858">
        <v>11.99</v>
      </c>
      <c r="L1651" s="859">
        <v>1000</v>
      </c>
      <c r="M1651" s="858">
        <f>K1651/L1651*1000</f>
        <v>11.99</v>
      </c>
      <c r="N1651" s="861"/>
      <c r="O1651" s="862" t="s">
        <v>337</v>
      </c>
    </row>
    <row r="1652" spans="2:15" s="859" customFormat="1" ht="11.25">
      <c r="B1652" s="853"/>
      <c r="C1652" s="853"/>
      <c r="D1652" s="853"/>
      <c r="E1652" s="854"/>
      <c r="F1652" s="855"/>
      <c r="G1652" s="853"/>
      <c r="H1652" s="853"/>
      <c r="I1652" s="872" t="s">
        <v>57</v>
      </c>
      <c r="J1652" s="874"/>
      <c r="K1652" s="870">
        <v>10.99</v>
      </c>
      <c r="L1652" s="871">
        <v>1000</v>
      </c>
      <c r="M1652" s="870">
        <f t="shared" si="131"/>
        <v>10.99</v>
      </c>
      <c r="N1652" s="861"/>
      <c r="O1652" s="862" t="s">
        <v>2632</v>
      </c>
    </row>
    <row r="1653" spans="2:15" s="859" customFormat="1" ht="11.25">
      <c r="B1653" s="853"/>
      <c r="C1653" s="853"/>
      <c r="D1653" s="853"/>
      <c r="E1653" s="854"/>
      <c r="F1653" s="855"/>
      <c r="G1653" s="853"/>
      <c r="H1653" s="853"/>
      <c r="I1653" s="872" t="s">
        <v>1822</v>
      </c>
      <c r="J1653" s="870"/>
      <c r="K1653" s="870">
        <v>11.99</v>
      </c>
      <c r="L1653" s="871">
        <v>1000</v>
      </c>
      <c r="M1653" s="870">
        <f t="shared" si="131"/>
        <v>11.99</v>
      </c>
      <c r="N1653" s="861"/>
      <c r="O1653" s="862" t="s">
        <v>2537</v>
      </c>
    </row>
    <row r="1654" spans="2:15" s="859" customFormat="1" ht="11.25">
      <c r="B1654" s="853"/>
      <c r="C1654" s="853"/>
      <c r="D1654" s="853"/>
      <c r="E1654" s="854"/>
      <c r="F1654" s="855"/>
      <c r="G1654" s="853"/>
      <c r="H1654" s="853"/>
      <c r="I1654" s="872" t="s">
        <v>1822</v>
      </c>
      <c r="J1654" s="870"/>
      <c r="K1654" s="870">
        <v>10.99</v>
      </c>
      <c r="L1654" s="871">
        <v>1000</v>
      </c>
      <c r="M1654" s="870">
        <f t="shared" si="131"/>
        <v>10.99</v>
      </c>
      <c r="N1654" s="861"/>
      <c r="O1654" s="862" t="s">
        <v>2537</v>
      </c>
    </row>
    <row r="1655" spans="2:15" s="859" customFormat="1" ht="11.25">
      <c r="B1655" s="853"/>
      <c r="C1655" s="853"/>
      <c r="D1655" s="853"/>
      <c r="E1655" s="854"/>
      <c r="F1655" s="855"/>
      <c r="G1655" s="853"/>
      <c r="H1655" s="853"/>
      <c r="I1655" s="872" t="s">
        <v>1822</v>
      </c>
      <c r="J1655" s="870"/>
      <c r="K1655" s="870">
        <v>5.99</v>
      </c>
      <c r="L1655" s="871">
        <v>500</v>
      </c>
      <c r="M1655" s="870">
        <f t="shared" si="131"/>
        <v>11.98</v>
      </c>
      <c r="N1655" s="861"/>
      <c r="O1655" s="862" t="s">
        <v>2632</v>
      </c>
    </row>
    <row r="1656" spans="2:15" s="859" customFormat="1" ht="11.25">
      <c r="B1656" s="853"/>
      <c r="C1656" s="853"/>
      <c r="D1656" s="853"/>
      <c r="E1656" s="854"/>
      <c r="F1656" s="855"/>
      <c r="G1656" s="853"/>
      <c r="H1656" s="853"/>
      <c r="I1656" s="872" t="s">
        <v>1822</v>
      </c>
      <c r="J1656" s="870"/>
      <c r="K1656" s="870">
        <v>4.99</v>
      </c>
      <c r="L1656" s="871">
        <v>500</v>
      </c>
      <c r="M1656" s="870">
        <f t="shared" si="131"/>
        <v>9.98</v>
      </c>
      <c r="N1656" s="861"/>
      <c r="O1656" s="862" t="s">
        <v>2131</v>
      </c>
    </row>
    <row r="1657" spans="2:15" s="859" customFormat="1" ht="11.25">
      <c r="B1657" s="853"/>
      <c r="C1657" s="853"/>
      <c r="D1657" s="853"/>
      <c r="E1657" s="854"/>
      <c r="F1657" s="855"/>
      <c r="G1657" s="853"/>
      <c r="H1657" s="853"/>
      <c r="I1657" s="872" t="s">
        <v>1822</v>
      </c>
      <c r="J1657" s="870"/>
      <c r="K1657" s="870">
        <v>4.49</v>
      </c>
      <c r="L1657" s="871">
        <v>500</v>
      </c>
      <c r="M1657" s="870">
        <f t="shared" si="131"/>
        <v>8.98</v>
      </c>
      <c r="O1657" s="862" t="s">
        <v>1038</v>
      </c>
    </row>
    <row r="1658" spans="2:15" s="859" customFormat="1" ht="11.25">
      <c r="B1658" s="853"/>
      <c r="C1658" s="853"/>
      <c r="D1658" s="853"/>
      <c r="E1658" s="854"/>
      <c r="F1658" s="855"/>
      <c r="G1658" s="853"/>
      <c r="H1658" s="853"/>
      <c r="I1658" s="875" t="s">
        <v>1889</v>
      </c>
      <c r="J1658" s="876"/>
      <c r="K1658" s="876">
        <v>7.5</v>
      </c>
      <c r="L1658" s="877">
        <v>500</v>
      </c>
      <c r="M1658" s="876">
        <f>K1658/L1658*1000*0.75</f>
        <v>11.25</v>
      </c>
      <c r="N1658" s="878" t="s">
        <v>2698</v>
      </c>
      <c r="O1658" s="862" t="s">
        <v>2632</v>
      </c>
    </row>
    <row r="1659" spans="2:15" s="859" customFormat="1" ht="11.25">
      <c r="B1659" s="853"/>
      <c r="C1659" s="853"/>
      <c r="D1659" s="853"/>
      <c r="E1659" s="854"/>
      <c r="F1659" s="855"/>
      <c r="G1659" s="853"/>
      <c r="H1659" s="853"/>
      <c r="I1659" s="856" t="s">
        <v>1889</v>
      </c>
      <c r="J1659" s="873" t="s">
        <v>1797</v>
      </c>
      <c r="K1659" s="860">
        <v>7.5</v>
      </c>
      <c r="L1659" s="863">
        <v>500</v>
      </c>
      <c r="M1659" s="857">
        <f aca="true" t="shared" si="132" ref="M1659:M1667">K1659/L1659*1000</f>
        <v>15</v>
      </c>
      <c r="N1659" s="878"/>
      <c r="O1659" s="862" t="s">
        <v>2632</v>
      </c>
    </row>
    <row r="1660" spans="2:15" s="859" customFormat="1" ht="11.25">
      <c r="B1660" s="853"/>
      <c r="C1660" s="853"/>
      <c r="D1660" s="853"/>
      <c r="E1660" s="854"/>
      <c r="F1660" s="855"/>
      <c r="G1660" s="853"/>
      <c r="H1660" s="853"/>
      <c r="I1660" s="868" t="s">
        <v>1193</v>
      </c>
      <c r="J1660" s="857"/>
      <c r="K1660" s="857">
        <f>7.99*0.75*0.9</f>
        <v>5.39325</v>
      </c>
      <c r="L1660" s="863">
        <v>500</v>
      </c>
      <c r="M1660" s="857">
        <f>K1660/L1660*1000</f>
        <v>10.7865</v>
      </c>
      <c r="N1660" s="879" t="s">
        <v>905</v>
      </c>
      <c r="O1660" s="862" t="s">
        <v>2575</v>
      </c>
    </row>
    <row r="1661" spans="2:15" s="859" customFormat="1" ht="11.25">
      <c r="B1661" s="853"/>
      <c r="C1661" s="853"/>
      <c r="D1661" s="853"/>
      <c r="E1661" s="854"/>
      <c r="F1661" s="855"/>
      <c r="G1661" s="853"/>
      <c r="H1661" s="853"/>
      <c r="I1661" s="868" t="s">
        <v>1193</v>
      </c>
      <c r="J1661" s="857"/>
      <c r="K1661" s="857">
        <f>7.99*0.75</f>
        <v>5.9925</v>
      </c>
      <c r="L1661" s="863">
        <v>500</v>
      </c>
      <c r="M1661" s="857">
        <f t="shared" si="132"/>
        <v>11.985</v>
      </c>
      <c r="N1661" s="879" t="s">
        <v>2698</v>
      </c>
      <c r="O1661" s="862" t="s">
        <v>1705</v>
      </c>
    </row>
    <row r="1662" spans="2:15" s="859" customFormat="1" ht="11.25">
      <c r="B1662" s="853"/>
      <c r="C1662" s="853"/>
      <c r="D1662" s="853"/>
      <c r="E1662" s="854"/>
      <c r="F1662" s="855"/>
      <c r="G1662" s="853"/>
      <c r="H1662" s="853"/>
      <c r="I1662" s="856" t="s">
        <v>1193</v>
      </c>
      <c r="J1662" s="880"/>
      <c r="K1662" s="860">
        <v>7.99</v>
      </c>
      <c r="L1662" s="863">
        <v>500</v>
      </c>
      <c r="M1662" s="857">
        <f>K1662/L1662*1000</f>
        <v>15.98</v>
      </c>
      <c r="N1662" s="878"/>
      <c r="O1662" s="862" t="s">
        <v>2632</v>
      </c>
    </row>
    <row r="1663" spans="2:15" s="859" customFormat="1" ht="11.25">
      <c r="B1663" s="853"/>
      <c r="C1663" s="853"/>
      <c r="D1663" s="853"/>
      <c r="E1663" s="854"/>
      <c r="F1663" s="855"/>
      <c r="G1663" s="853"/>
      <c r="H1663" s="853"/>
      <c r="I1663" s="881" t="s">
        <v>1193</v>
      </c>
      <c r="J1663" s="882"/>
      <c r="K1663" s="883">
        <v>6.99</v>
      </c>
      <c r="L1663" s="884">
        <v>500</v>
      </c>
      <c r="M1663" s="883">
        <f t="shared" si="132"/>
        <v>13.98</v>
      </c>
      <c r="N1663" s="878"/>
      <c r="O1663" s="862" t="s">
        <v>2622</v>
      </c>
    </row>
    <row r="1664" spans="2:15" s="859" customFormat="1" ht="11.25">
      <c r="B1664" s="853"/>
      <c r="C1664" s="853"/>
      <c r="D1664" s="853"/>
      <c r="E1664" s="854"/>
      <c r="F1664" s="855"/>
      <c r="G1664" s="853"/>
      <c r="H1664" s="853"/>
      <c r="I1664" s="881" t="s">
        <v>1193</v>
      </c>
      <c r="J1664" s="882"/>
      <c r="K1664" s="883">
        <v>6.49</v>
      </c>
      <c r="L1664" s="884">
        <v>500</v>
      </c>
      <c r="M1664" s="883">
        <f t="shared" si="132"/>
        <v>12.98</v>
      </c>
      <c r="N1664" s="878"/>
      <c r="O1664" s="862" t="s">
        <v>1226</v>
      </c>
    </row>
    <row r="1665" spans="2:15" s="859" customFormat="1" ht="11.25">
      <c r="B1665" s="853"/>
      <c r="C1665" s="853"/>
      <c r="D1665" s="853"/>
      <c r="E1665" s="854"/>
      <c r="F1665" s="855"/>
      <c r="G1665" s="853"/>
      <c r="H1665" s="853"/>
      <c r="I1665" s="881" t="s">
        <v>1193</v>
      </c>
      <c r="J1665" s="882"/>
      <c r="K1665" s="883">
        <f>5.49*0.75</f>
        <v>4.1175</v>
      </c>
      <c r="L1665" s="884">
        <v>500</v>
      </c>
      <c r="M1665" s="883">
        <f t="shared" si="132"/>
        <v>8.235</v>
      </c>
      <c r="N1665" s="871" t="s">
        <v>1362</v>
      </c>
      <c r="O1665" s="862" t="s">
        <v>1539</v>
      </c>
    </row>
    <row r="1666" spans="2:15" s="859" customFormat="1" ht="11.25">
      <c r="B1666" s="853"/>
      <c r="C1666" s="853"/>
      <c r="D1666" s="853"/>
      <c r="E1666" s="854"/>
      <c r="F1666" s="855"/>
      <c r="G1666" s="853"/>
      <c r="H1666" s="853"/>
      <c r="I1666" s="872" t="s">
        <v>669</v>
      </c>
      <c r="J1666" s="870"/>
      <c r="K1666" s="870">
        <v>3.99</v>
      </c>
      <c r="L1666" s="871">
        <v>500</v>
      </c>
      <c r="M1666" s="870">
        <f t="shared" si="132"/>
        <v>7.980000000000001</v>
      </c>
      <c r="N1666" s="871" t="s">
        <v>3060</v>
      </c>
      <c r="O1666" s="862" t="s">
        <v>2013</v>
      </c>
    </row>
    <row r="1667" spans="2:15" s="859" customFormat="1" ht="11.25">
      <c r="B1667" s="853"/>
      <c r="C1667" s="853"/>
      <c r="D1667" s="853"/>
      <c r="E1667" s="854"/>
      <c r="F1667" s="855"/>
      <c r="G1667" s="853"/>
      <c r="H1667" s="853"/>
      <c r="I1667" s="872" t="s">
        <v>870</v>
      </c>
      <c r="J1667" s="870"/>
      <c r="K1667" s="870">
        <v>3.99</v>
      </c>
      <c r="L1667" s="871">
        <v>500</v>
      </c>
      <c r="M1667" s="870">
        <f t="shared" si="132"/>
        <v>7.980000000000001</v>
      </c>
      <c r="N1667" s="871" t="s">
        <v>1577</v>
      </c>
      <c r="O1667" s="862" t="s">
        <v>820</v>
      </c>
    </row>
    <row r="1668" spans="2:15" s="859" customFormat="1" ht="11.25">
      <c r="B1668" s="853"/>
      <c r="C1668" s="853"/>
      <c r="D1668" s="853"/>
      <c r="E1668" s="854"/>
      <c r="F1668" s="855"/>
      <c r="G1668" s="853"/>
      <c r="H1668" s="853"/>
      <c r="I1668" s="856" t="s">
        <v>2701</v>
      </c>
      <c r="J1668" s="885"/>
      <c r="K1668" s="886"/>
      <c r="L1668" s="887"/>
      <c r="M1668" s="886"/>
      <c r="N1668" s="887"/>
      <c r="O1668" s="888"/>
    </row>
    <row r="1669" spans="2:15" s="859" customFormat="1" ht="11.25">
      <c r="B1669" s="853"/>
      <c r="C1669" s="853"/>
      <c r="D1669" s="853"/>
      <c r="E1669" s="854"/>
      <c r="F1669" s="855"/>
      <c r="G1669" s="853"/>
      <c r="H1669" s="853"/>
      <c r="I1669" s="856"/>
      <c r="J1669" s="885"/>
      <c r="K1669" s="886"/>
      <c r="L1669" s="887"/>
      <c r="M1669" s="886"/>
      <c r="N1669" s="887"/>
      <c r="O1669" s="888"/>
    </row>
    <row r="1670" spans="9:13" ht="15.75">
      <c r="I1670" s="52" t="s">
        <v>2280</v>
      </c>
      <c r="J1670" s="5"/>
      <c r="K1670" s="32"/>
      <c r="M1670" s="5"/>
    </row>
    <row r="1671" spans="2:15" ht="12.75">
      <c r="B1671" s="648"/>
      <c r="C1671" s="648"/>
      <c r="D1671" s="648"/>
      <c r="E1671" s="795"/>
      <c r="F1671" s="590"/>
      <c r="G1671" s="648"/>
      <c r="H1671" s="648"/>
      <c r="I1671" s="31" t="s">
        <v>2979</v>
      </c>
      <c r="J1671" s="32"/>
      <c r="K1671" s="32">
        <v>1.59</v>
      </c>
      <c r="L1671" s="33">
        <v>500</v>
      </c>
      <c r="M1671" s="58">
        <f>K1671/L1671*1000</f>
        <v>3.18</v>
      </c>
      <c r="N1671" s="94"/>
      <c r="O1671" s="818" t="s">
        <v>2402</v>
      </c>
    </row>
    <row r="1672" spans="2:15" ht="12.75">
      <c r="B1672" s="648">
        <v>7.7</v>
      </c>
      <c r="C1672" s="648">
        <v>74</v>
      </c>
      <c r="D1672" s="648">
        <v>0.8</v>
      </c>
      <c r="E1672" s="795"/>
      <c r="F1672" s="590">
        <v>1460</v>
      </c>
      <c r="G1672" s="648">
        <f>B1672/F1672*1000</f>
        <v>5.273972602739726</v>
      </c>
      <c r="H1672" s="1212">
        <f>M1672/F1672*100000</f>
        <v>184.9315068493151</v>
      </c>
      <c r="I1672" s="2" t="s">
        <v>2983</v>
      </c>
      <c r="J1672" s="32"/>
      <c r="K1672" s="32">
        <v>1.35</v>
      </c>
      <c r="L1672" s="33">
        <v>500</v>
      </c>
      <c r="M1672" s="58">
        <f>K1672/L1672*1000</f>
        <v>2.7</v>
      </c>
      <c r="N1672" s="94"/>
      <c r="O1672" s="818" t="s">
        <v>2402</v>
      </c>
    </row>
    <row r="1673" spans="2:15" ht="12.75">
      <c r="B1673" s="648"/>
      <c r="C1673" s="648"/>
      <c r="D1673" s="648"/>
      <c r="E1673" s="795"/>
      <c r="F1673" s="590"/>
      <c r="G1673" s="648"/>
      <c r="H1673" s="648"/>
      <c r="I1673" s="2" t="s">
        <v>1460</v>
      </c>
      <c r="J1673" s="32"/>
      <c r="K1673" s="32">
        <v>1.22</v>
      </c>
      <c r="L1673" s="33">
        <v>500</v>
      </c>
      <c r="M1673" s="58">
        <f aca="true" t="shared" si="133" ref="M1673:M1678">K1673/L1673*1000</f>
        <v>2.44</v>
      </c>
      <c r="N1673" s="94"/>
      <c r="O1673" s="775" t="s">
        <v>890</v>
      </c>
    </row>
    <row r="1674" spans="2:15" ht="12.75">
      <c r="B1674" s="648">
        <v>7.3</v>
      </c>
      <c r="C1674" s="648">
        <v>75.4</v>
      </c>
      <c r="D1674" s="648">
        <v>1.5</v>
      </c>
      <c r="E1674" s="795"/>
      <c r="F1674" s="590">
        <v>1461</v>
      </c>
      <c r="G1674" s="648">
        <f>B1674/F1674*1000</f>
        <v>4.996577686516085</v>
      </c>
      <c r="H1674" s="1212">
        <f>M1674/F1674*100000</f>
        <v>330.6365503080082</v>
      </c>
      <c r="I1674" s="109" t="s">
        <v>2880</v>
      </c>
      <c r="J1674" s="22">
        <v>2.49</v>
      </c>
      <c r="K1674" s="22">
        <f>J1674*0.97</f>
        <v>2.4153000000000002</v>
      </c>
      <c r="L1674" s="23">
        <v>500</v>
      </c>
      <c r="M1674" s="774">
        <f t="shared" si="133"/>
        <v>4.8306000000000004</v>
      </c>
      <c r="N1674" s="94"/>
      <c r="O1674" s="24" t="s">
        <v>776</v>
      </c>
    </row>
    <row r="1675" spans="2:15" ht="12.75">
      <c r="B1675" s="648">
        <v>7.3</v>
      </c>
      <c r="C1675" s="648">
        <v>75.4</v>
      </c>
      <c r="D1675" s="648">
        <v>1.5</v>
      </c>
      <c r="E1675" s="795"/>
      <c r="F1675" s="590">
        <v>1461</v>
      </c>
      <c r="G1675" s="648">
        <f>B1675/F1675*1000</f>
        <v>4.996577686516085</v>
      </c>
      <c r="H1675" s="648"/>
      <c r="I1675" s="109" t="s">
        <v>2880</v>
      </c>
      <c r="J1675" s="22">
        <v>2.29</v>
      </c>
      <c r="K1675" s="22">
        <f>J1675*0.97</f>
        <v>2.2213</v>
      </c>
      <c r="L1675" s="23">
        <v>750</v>
      </c>
      <c r="M1675" s="774">
        <f t="shared" si="133"/>
        <v>2.961733333333333</v>
      </c>
      <c r="N1675" s="817" t="s">
        <v>1362</v>
      </c>
      <c r="O1675" s="24" t="s">
        <v>10</v>
      </c>
    </row>
    <row r="1676" spans="2:15" ht="12.75">
      <c r="B1676" s="648">
        <v>7.3</v>
      </c>
      <c r="C1676" s="648">
        <v>75.4</v>
      </c>
      <c r="D1676" s="648">
        <v>1.5</v>
      </c>
      <c r="E1676" s="795"/>
      <c r="F1676" s="590">
        <v>1461</v>
      </c>
      <c r="G1676" s="648">
        <f>B1676/F1676*1000</f>
        <v>4.996577686516085</v>
      </c>
      <c r="H1676" s="648"/>
      <c r="I1676" s="109" t="s">
        <v>2880</v>
      </c>
      <c r="J1676" s="22">
        <v>2.49</v>
      </c>
      <c r="K1676" s="22">
        <f>J1676*0.97</f>
        <v>2.4153000000000002</v>
      </c>
      <c r="L1676" s="23">
        <v>750</v>
      </c>
      <c r="M1676" s="774">
        <f t="shared" si="133"/>
        <v>3.2204000000000006</v>
      </c>
      <c r="O1676" s="24" t="s">
        <v>433</v>
      </c>
    </row>
    <row r="1677" spans="2:15" ht="12.75">
      <c r="B1677" s="195">
        <v>7.3</v>
      </c>
      <c r="C1677" s="195">
        <v>75.4</v>
      </c>
      <c r="D1677" s="195">
        <v>1.5</v>
      </c>
      <c r="F1677" s="198">
        <v>1461</v>
      </c>
      <c r="G1677" s="195">
        <f>B1677/F1677*1000</f>
        <v>4.996577686516085</v>
      </c>
      <c r="I1677" s="109" t="s">
        <v>235</v>
      </c>
      <c r="J1677" s="22">
        <v>2.99</v>
      </c>
      <c r="K1677" s="22">
        <f>J1677*0.97</f>
        <v>2.9003</v>
      </c>
      <c r="L1677" s="23">
        <v>1000</v>
      </c>
      <c r="M1677" s="22">
        <f t="shared" si="133"/>
        <v>2.9003</v>
      </c>
      <c r="O1677" s="24" t="s">
        <v>662</v>
      </c>
    </row>
    <row r="1678" spans="2:15" ht="12.75">
      <c r="B1678" s="195">
        <v>7.3</v>
      </c>
      <c r="C1678" s="195">
        <v>75.4</v>
      </c>
      <c r="D1678" s="195">
        <v>1.5</v>
      </c>
      <c r="F1678" s="198">
        <v>1461</v>
      </c>
      <c r="G1678" s="195">
        <f>B1678/F1678*1000</f>
        <v>4.996577686516085</v>
      </c>
      <c r="I1678" s="109" t="s">
        <v>3091</v>
      </c>
      <c r="J1678" s="22">
        <v>2.69</v>
      </c>
      <c r="K1678" s="22">
        <f>J1678*0.97</f>
        <v>2.6092999999999997</v>
      </c>
      <c r="L1678" s="23">
        <v>1000</v>
      </c>
      <c r="M1678" s="22">
        <f t="shared" si="133"/>
        <v>2.6092999999999997</v>
      </c>
      <c r="O1678" s="24" t="s">
        <v>2083</v>
      </c>
    </row>
    <row r="1679" spans="9:15" ht="12.75">
      <c r="I1679" s="40" t="s">
        <v>1336</v>
      </c>
      <c r="J1679" s="5"/>
      <c r="K1679" s="32">
        <v>1.49</v>
      </c>
      <c r="L1679">
        <v>500</v>
      </c>
      <c r="M1679" s="5">
        <f aca="true" t="shared" si="134" ref="M1679:M1685">K1679/L1679*1000</f>
        <v>2.98</v>
      </c>
      <c r="O1679" s="24" t="s">
        <v>1663</v>
      </c>
    </row>
    <row r="1680" spans="9:15" ht="12.75">
      <c r="I1680" s="37" t="s">
        <v>2345</v>
      </c>
      <c r="J1680" s="41"/>
      <c r="K1680" s="41">
        <v>1.85</v>
      </c>
      <c r="L1680" s="42">
        <v>500</v>
      </c>
      <c r="M1680" s="41">
        <f>K1680/L1680*1000</f>
        <v>3.7</v>
      </c>
      <c r="O1680" s="716" t="s">
        <v>776</v>
      </c>
    </row>
    <row r="1681" spans="9:15" ht="12.75">
      <c r="I1681" s="37" t="s">
        <v>2345</v>
      </c>
      <c r="J1681" s="41"/>
      <c r="K1681" s="41">
        <v>1.77</v>
      </c>
      <c r="L1681" s="42">
        <v>500</v>
      </c>
      <c r="M1681" s="41">
        <f>K1681/L1681*1000</f>
        <v>3.54</v>
      </c>
      <c r="O1681" s="24" t="s">
        <v>2670</v>
      </c>
    </row>
    <row r="1682" spans="9:15" ht="14.25">
      <c r="I1682" s="28" t="s">
        <v>3056</v>
      </c>
      <c r="J1682" s="29"/>
      <c r="K1682" s="29">
        <v>1.77</v>
      </c>
      <c r="L1682" s="30">
        <v>500</v>
      </c>
      <c r="M1682" s="29">
        <f>K1682/L1682*1000</f>
        <v>3.54</v>
      </c>
      <c r="O1682" s="24" t="s">
        <v>2632</v>
      </c>
    </row>
    <row r="1683" spans="9:15" ht="14.25">
      <c r="I1683" s="28" t="s">
        <v>3056</v>
      </c>
      <c r="J1683" s="29"/>
      <c r="K1683" s="29">
        <v>1.67</v>
      </c>
      <c r="L1683" s="30">
        <v>500</v>
      </c>
      <c r="M1683" s="29">
        <f t="shared" si="134"/>
        <v>3.34</v>
      </c>
      <c r="O1683" s="24" t="s">
        <v>2802</v>
      </c>
    </row>
    <row r="1684" spans="9:15" ht="12.75">
      <c r="I1684" s="37" t="s">
        <v>1593</v>
      </c>
      <c r="J1684" s="5"/>
      <c r="K1684" s="32">
        <v>2.15</v>
      </c>
      <c r="L1684">
        <v>500</v>
      </c>
      <c r="M1684" s="5">
        <f t="shared" si="134"/>
        <v>4.3</v>
      </c>
      <c r="N1684" s="108"/>
      <c r="O1684" s="24" t="s">
        <v>1038</v>
      </c>
    </row>
    <row r="1685" spans="9:15" ht="12.75">
      <c r="I1685" s="40" t="s">
        <v>1950</v>
      </c>
      <c r="J1685" s="41">
        <v>2.99</v>
      </c>
      <c r="K1685" s="41">
        <f>J1685*0.99</f>
        <v>2.9601</v>
      </c>
      <c r="L1685" s="42">
        <v>1000</v>
      </c>
      <c r="M1685" s="5">
        <f t="shared" si="134"/>
        <v>2.9601</v>
      </c>
      <c r="N1685" s="132"/>
      <c r="O1685" s="716" t="s">
        <v>2670</v>
      </c>
    </row>
    <row r="1686" spans="9:15" ht="12.75">
      <c r="I1686" s="40" t="s">
        <v>748</v>
      </c>
      <c r="J1686" s="41">
        <v>1.49</v>
      </c>
      <c r="K1686" s="41">
        <f>J1686*0.99</f>
        <v>1.4751</v>
      </c>
      <c r="L1686" s="42">
        <v>500</v>
      </c>
      <c r="M1686" s="41">
        <f>J1686/L1686*1000</f>
        <v>2.98</v>
      </c>
      <c r="N1686" s="132"/>
      <c r="O1686" s="716" t="s">
        <v>2670</v>
      </c>
    </row>
    <row r="1687" ht="12.75"/>
    <row r="1688" spans="9:10" ht="15.75">
      <c r="I1688" s="178" t="s">
        <v>2253</v>
      </c>
      <c r="J1688" s="153"/>
    </row>
    <row r="1689" spans="9:15" ht="12.75">
      <c r="I1689" s="56" t="s">
        <v>2234</v>
      </c>
      <c r="J1689" s="16"/>
      <c r="K1689" s="16"/>
      <c r="L1689" s="7"/>
      <c r="M1689" s="16"/>
      <c r="O1689" s="448" t="s">
        <v>2164</v>
      </c>
    </row>
    <row r="1690" spans="9:15" ht="12.75">
      <c r="I1690" s="6" t="s">
        <v>2367</v>
      </c>
      <c r="J1690" s="16"/>
      <c r="K1690" s="16">
        <v>1.29</v>
      </c>
      <c r="L1690" s="7">
        <v>250</v>
      </c>
      <c r="M1690" s="16">
        <f>K1690/L1690*1000</f>
        <v>5.16</v>
      </c>
      <c r="O1690" s="448" t="s">
        <v>458</v>
      </c>
    </row>
    <row r="1691" spans="9:15" ht="12.75">
      <c r="I1691" s="40" t="s">
        <v>2885</v>
      </c>
      <c r="J1691" s="5"/>
      <c r="K1691" s="32">
        <v>1.99</v>
      </c>
      <c r="L1691">
        <v>250</v>
      </c>
      <c r="M1691" s="1127">
        <f>K1691/L1691*1000</f>
        <v>7.96</v>
      </c>
      <c r="O1691" s="448" t="s">
        <v>412</v>
      </c>
    </row>
    <row r="1692" spans="2:15" ht="12.75">
      <c r="B1692" s="195">
        <v>0.4</v>
      </c>
      <c r="C1692" s="195">
        <v>87</v>
      </c>
      <c r="D1692" s="195">
        <v>0.6</v>
      </c>
      <c r="F1692" s="198">
        <v>1506</v>
      </c>
      <c r="G1692" s="195">
        <f>B1692/F1692*1000</f>
        <v>0.2656042496679947</v>
      </c>
      <c r="I1692" s="17" t="s">
        <v>1179</v>
      </c>
      <c r="J1692" s="18"/>
      <c r="K1692" s="18">
        <v>1.99</v>
      </c>
      <c r="L1692" s="19">
        <v>250</v>
      </c>
      <c r="M1692" s="18">
        <f>K1692/L1692*1000</f>
        <v>7.96</v>
      </c>
      <c r="O1692" s="24" t="s">
        <v>537</v>
      </c>
    </row>
    <row r="1693" spans="2:15" ht="12.75">
      <c r="B1693" s="195">
        <v>0.6</v>
      </c>
      <c r="C1693" s="195">
        <v>87</v>
      </c>
      <c r="D1693" s="195">
        <v>0.4</v>
      </c>
      <c r="F1693" s="198">
        <v>1506</v>
      </c>
      <c r="G1693" s="195">
        <f>B1693/F1693*1000</f>
        <v>0.398406374501992</v>
      </c>
      <c r="I1693" s="71" t="s">
        <v>284</v>
      </c>
      <c r="J1693" s="29"/>
      <c r="K1693" s="29">
        <v>1.85</v>
      </c>
      <c r="L1693" s="30">
        <v>250</v>
      </c>
      <c r="M1693" s="29">
        <f>K1693/L1693*1000</f>
        <v>7.4</v>
      </c>
      <c r="N1693" s="327" t="s">
        <v>2306</v>
      </c>
      <c r="O1693" s="716" t="s">
        <v>2337</v>
      </c>
    </row>
    <row r="1694" spans="9:15" ht="12.75">
      <c r="I1694" s="71" t="s">
        <v>2420</v>
      </c>
      <c r="J1694" s="29"/>
      <c r="K1694" s="29">
        <v>1.99</v>
      </c>
      <c r="L1694" s="30">
        <v>250</v>
      </c>
      <c r="M1694" s="29">
        <f aca="true" t="shared" si="135" ref="M1694:M1699">K1694/L1694*1000</f>
        <v>7.96</v>
      </c>
      <c r="O1694" s="716" t="s">
        <v>337</v>
      </c>
    </row>
    <row r="1695" spans="9:15" ht="12.75">
      <c r="I1695" s="37" t="s">
        <v>1597</v>
      </c>
      <c r="J1695" s="25">
        <v>2.69</v>
      </c>
      <c r="K1695" s="25">
        <f>J1695*0.97</f>
        <v>2.6092999999999997</v>
      </c>
      <c r="L1695" s="26">
        <v>200</v>
      </c>
      <c r="M1695" s="25">
        <f>K1695/L1695*1000</f>
        <v>13.046499999999998</v>
      </c>
      <c r="O1695" s="24" t="s">
        <v>2877</v>
      </c>
    </row>
    <row r="1696" spans="9:15" ht="12.75">
      <c r="I1696" s="71" t="s">
        <v>3018</v>
      </c>
      <c r="J1696" s="29">
        <v>2.54</v>
      </c>
      <c r="K1696" s="29">
        <f>J1696*0.97</f>
        <v>2.4638</v>
      </c>
      <c r="L1696" s="30">
        <v>350</v>
      </c>
      <c r="M1696" s="29">
        <f t="shared" si="135"/>
        <v>7.039428571428571</v>
      </c>
      <c r="O1696" s="24" t="s">
        <v>1035</v>
      </c>
    </row>
    <row r="1697" spans="9:15" ht="12.75">
      <c r="I1697" s="71" t="s">
        <v>3018</v>
      </c>
      <c r="J1697" s="29">
        <v>2.7</v>
      </c>
      <c r="K1697" s="29">
        <f>J1697*0.97</f>
        <v>2.619</v>
      </c>
      <c r="L1697" s="30">
        <v>350</v>
      </c>
      <c r="M1697" s="29">
        <f t="shared" si="135"/>
        <v>7.482857142857143</v>
      </c>
      <c r="O1697" s="24" t="s">
        <v>608</v>
      </c>
    </row>
    <row r="1698" spans="9:15" ht="12.75">
      <c r="I1698" s="71" t="s">
        <v>3018</v>
      </c>
      <c r="J1698" s="29">
        <v>2.99</v>
      </c>
      <c r="K1698" s="29">
        <f>J1698*0.97</f>
        <v>2.9003</v>
      </c>
      <c r="L1698" s="30">
        <v>350</v>
      </c>
      <c r="M1698" s="29">
        <f t="shared" si="135"/>
        <v>8.28657142857143</v>
      </c>
      <c r="O1698" s="24" t="s">
        <v>2099</v>
      </c>
    </row>
    <row r="1699" spans="9:15" ht="12.75">
      <c r="I1699" s="21" t="s">
        <v>3018</v>
      </c>
      <c r="J1699" s="22">
        <v>3.99</v>
      </c>
      <c r="K1699" s="22">
        <f>J1699*0.97</f>
        <v>3.8703000000000003</v>
      </c>
      <c r="L1699" s="23">
        <v>350</v>
      </c>
      <c r="M1699" s="22">
        <f t="shared" si="135"/>
        <v>11.058</v>
      </c>
      <c r="O1699" s="24" t="s">
        <v>2310</v>
      </c>
    </row>
    <row r="1700" spans="9:13" ht="12.75">
      <c r="I1700" s="37"/>
      <c r="J1700" s="25"/>
      <c r="K1700" s="25"/>
      <c r="L1700" s="26"/>
      <c r="M1700" s="25"/>
    </row>
    <row r="1701" spans="9:13" ht="15.75">
      <c r="I1701" s="52" t="s">
        <v>2015</v>
      </c>
      <c r="J1701" s="25"/>
      <c r="K1701" s="25"/>
      <c r="L1701" s="26"/>
      <c r="M1701" s="25"/>
    </row>
    <row r="1702" spans="9:15" ht="12.75">
      <c r="I1702" s="31" t="s">
        <v>1141</v>
      </c>
      <c r="J1702" s="32">
        <v>2.29</v>
      </c>
      <c r="K1702" s="32">
        <f>J1702*0.97</f>
        <v>2.2213</v>
      </c>
      <c r="L1702">
        <v>250</v>
      </c>
      <c r="M1702" s="5">
        <f>K1702/L1702*1000</f>
        <v>8.8852</v>
      </c>
      <c r="O1702" s="24" t="s">
        <v>2657</v>
      </c>
    </row>
    <row r="1703" spans="9:13" ht="12.75">
      <c r="I1703" s="31"/>
      <c r="J1703" s="32"/>
      <c r="K1703" s="32"/>
      <c r="M1703" s="5"/>
    </row>
    <row r="1704" spans="9:13" ht="12.75">
      <c r="I1704" s="31"/>
      <c r="J1704" s="32"/>
      <c r="K1704" s="32"/>
      <c r="M1704" s="5"/>
    </row>
    <row r="1705" spans="9:11" ht="15.75">
      <c r="I1705" s="52" t="s">
        <v>824</v>
      </c>
      <c r="J1705" s="5"/>
      <c r="K1705" s="32"/>
    </row>
    <row r="1706" spans="9:15" ht="12.75">
      <c r="I1706" s="31" t="s">
        <v>1072</v>
      </c>
      <c r="J1706" s="5"/>
      <c r="K1706" s="32">
        <v>21.37</v>
      </c>
      <c r="L1706">
        <v>2000</v>
      </c>
      <c r="M1706" s="5">
        <f>K1706/L1706*1000</f>
        <v>10.685</v>
      </c>
      <c r="O1706" s="125" t="s">
        <v>2053</v>
      </c>
    </row>
    <row r="1707" spans="9:15" ht="12.75">
      <c r="I1707" s="31" t="s">
        <v>1073</v>
      </c>
      <c r="J1707" s="5"/>
      <c r="K1707" s="32">
        <v>20.47</v>
      </c>
      <c r="L1707">
        <v>2000</v>
      </c>
      <c r="M1707" s="5">
        <f>K1707/2</f>
        <v>10.235</v>
      </c>
      <c r="O1707" s="125" t="s">
        <v>3121</v>
      </c>
    </row>
    <row r="1708" spans="9:15" ht="12.75">
      <c r="I1708" s="31" t="s">
        <v>1073</v>
      </c>
      <c r="J1708" s="5"/>
      <c r="K1708" s="32"/>
      <c r="L1708">
        <v>1000</v>
      </c>
      <c r="M1708" s="5">
        <v>11.85</v>
      </c>
      <c r="O1708" s="125" t="s">
        <v>3121</v>
      </c>
    </row>
    <row r="1709" spans="9:15" ht="12.75">
      <c r="I1709" s="56" t="s">
        <v>2989</v>
      </c>
      <c r="J1709" s="57"/>
      <c r="K1709" s="57"/>
      <c r="L1709" s="345" t="s">
        <v>1470</v>
      </c>
      <c r="M1709" s="57">
        <v>7.45</v>
      </c>
      <c r="O1709" s="716" t="s">
        <v>3121</v>
      </c>
    </row>
    <row r="1710" spans="9:15" ht="12.75">
      <c r="I1710" s="31" t="s">
        <v>2339</v>
      </c>
      <c r="J1710" s="5">
        <v>1.79</v>
      </c>
      <c r="K1710" s="32">
        <f>J1710*0.97</f>
        <v>1.7363</v>
      </c>
      <c r="L1710">
        <v>500</v>
      </c>
      <c r="M1710" s="5">
        <f>K1710/L1710*1000</f>
        <v>3.4726</v>
      </c>
      <c r="O1710" s="24" t="s">
        <v>2657</v>
      </c>
    </row>
    <row r="1711" spans="9:15" ht="12.75">
      <c r="I1711" s="31" t="s">
        <v>383</v>
      </c>
      <c r="J1711" s="5">
        <v>2.99</v>
      </c>
      <c r="K1711" s="32">
        <f>J1711*0.97</f>
        <v>2.9003</v>
      </c>
      <c r="L1711">
        <v>500</v>
      </c>
      <c r="M1711" s="5">
        <f>K1711/L1711*1000</f>
        <v>5.8006</v>
      </c>
      <c r="O1711" s="24" t="s">
        <v>1804</v>
      </c>
    </row>
    <row r="1712" spans="9:13" ht="12.75">
      <c r="I1712" s="31"/>
      <c r="J1712" s="5"/>
      <c r="K1712" s="32"/>
      <c r="M1712" s="5"/>
    </row>
    <row r="1713" spans="9:11" ht="15.75">
      <c r="I1713" s="91" t="s">
        <v>966</v>
      </c>
      <c r="J1713" s="5"/>
      <c r="K1713" s="32"/>
    </row>
    <row r="1714" spans="9:15" ht="12.75">
      <c r="I1714" s="31" t="s">
        <v>975</v>
      </c>
      <c r="J1714" s="5"/>
      <c r="K1714" s="32">
        <v>16.43</v>
      </c>
      <c r="L1714">
        <v>1000</v>
      </c>
      <c r="M1714" s="5">
        <f>K1714/L1714*1000</f>
        <v>16.43</v>
      </c>
      <c r="O1714" s="24" t="s">
        <v>1769</v>
      </c>
    </row>
    <row r="1715" spans="9:13" ht="12.75">
      <c r="I1715" s="31"/>
      <c r="J1715" s="5"/>
      <c r="K1715" s="32"/>
      <c r="M1715" s="5"/>
    </row>
    <row r="1716" spans="9:13" ht="12.75">
      <c r="I1716" s="31"/>
      <c r="J1716" s="5"/>
      <c r="K1716" s="32"/>
      <c r="M1716" s="5"/>
    </row>
    <row r="1717" spans="2:15" s="447" customFormat="1" ht="15.75">
      <c r="B1717" s="319"/>
      <c r="C1717" s="319"/>
      <c r="D1717" s="319"/>
      <c r="E1717" s="735"/>
      <c r="F1717" s="483"/>
      <c r="G1717" s="319"/>
      <c r="H1717" s="319"/>
      <c r="I1717" s="1416" t="s">
        <v>967</v>
      </c>
      <c r="J1717" s="321"/>
      <c r="K1717" s="321"/>
      <c r="O1717" s="448"/>
    </row>
    <row r="1718" spans="9:15" ht="12.75">
      <c r="I1718" s="31" t="s">
        <v>3001</v>
      </c>
      <c r="J1718" s="5"/>
      <c r="K1718" s="32">
        <v>13.99</v>
      </c>
      <c r="L1718">
        <v>2500</v>
      </c>
      <c r="M1718" s="5">
        <f>K1718/L1718*1000</f>
        <v>5.596</v>
      </c>
      <c r="O1718" s="716" t="s">
        <v>1769</v>
      </c>
    </row>
    <row r="1719" spans="9:13" ht="12.75">
      <c r="I1719" s="31"/>
      <c r="J1719" s="5"/>
      <c r="K1719" s="32"/>
      <c r="M1719" s="5"/>
    </row>
    <row r="1720" spans="9:13" ht="12.75">
      <c r="I1720" s="31"/>
      <c r="J1720" s="5"/>
      <c r="K1720" s="32"/>
      <c r="M1720" s="5"/>
    </row>
    <row r="1721" spans="9:11" ht="15.75">
      <c r="I1721" s="91" t="s">
        <v>2884</v>
      </c>
      <c r="J1721" s="5"/>
      <c r="K1721" s="32"/>
    </row>
    <row r="1722" spans="2:15" ht="12.75">
      <c r="B1722" s="195">
        <v>22</v>
      </c>
      <c r="C1722" s="195">
        <v>48</v>
      </c>
      <c r="D1722" s="195">
        <v>6.2</v>
      </c>
      <c r="F1722" s="198">
        <v>1518</v>
      </c>
      <c r="G1722" s="195">
        <f>B1722/F1722*1000</f>
        <v>14.492753623188406</v>
      </c>
      <c r="I1722" s="1579" t="s">
        <v>2522</v>
      </c>
      <c r="J1722" s="32"/>
      <c r="K1722" s="32">
        <v>2.3</v>
      </c>
      <c r="L1722">
        <v>300</v>
      </c>
      <c r="M1722" s="5">
        <f>K1722/L1722*1000</f>
        <v>7.666666666666666</v>
      </c>
      <c r="O1722" s="88" t="s">
        <v>3180</v>
      </c>
    </row>
    <row r="1723" spans="2:15" ht="12.75">
      <c r="B1723" s="195">
        <v>22</v>
      </c>
      <c r="C1723" s="195">
        <v>48</v>
      </c>
      <c r="D1723" s="195">
        <v>6.2</v>
      </c>
      <c r="F1723" s="198">
        <v>1518</v>
      </c>
      <c r="G1723" s="195">
        <f>B1723/F1723*1000</f>
        <v>14.492753623188406</v>
      </c>
      <c r="I1723" s="1578" t="s">
        <v>2522</v>
      </c>
      <c r="J1723" s="1487"/>
      <c r="K1723" s="1487">
        <v>2.95</v>
      </c>
      <c r="L1723" s="1488">
        <v>300</v>
      </c>
      <c r="M1723" s="1487">
        <f>K1723/L1723*1000</f>
        <v>9.833333333333334</v>
      </c>
      <c r="O1723" s="24" t="s">
        <v>3121</v>
      </c>
    </row>
    <row r="1724" spans="2:15" ht="12.75">
      <c r="B1724" s="195">
        <v>19</v>
      </c>
      <c r="C1724" s="195">
        <v>44</v>
      </c>
      <c r="D1724" s="195">
        <v>5.9</v>
      </c>
      <c r="F1724" s="198">
        <v>336</v>
      </c>
      <c r="G1724" s="195">
        <f>B1724/F1724*1000</f>
        <v>56.54761904761905</v>
      </c>
      <c r="H1724" s="1212">
        <f>M1724/F1724*100000</f>
        <v>3045.63492063492</v>
      </c>
      <c r="I1724" s="1580" t="s">
        <v>976</v>
      </c>
      <c r="J1724" s="1473"/>
      <c r="K1724" s="1473">
        <v>3.07</v>
      </c>
      <c r="L1724" s="1474">
        <v>300</v>
      </c>
      <c r="M1724" s="1473">
        <f>K1724/L1724*1000</f>
        <v>10.233333333333333</v>
      </c>
      <c r="O1724" s="448" t="s">
        <v>1769</v>
      </c>
    </row>
    <row r="1725" spans="2:15" ht="12.75">
      <c r="B1725" s="195">
        <v>22</v>
      </c>
      <c r="C1725" s="195">
        <v>45</v>
      </c>
      <c r="D1725" s="195">
        <v>6</v>
      </c>
      <c r="F1725" s="198">
        <v>1347</v>
      </c>
      <c r="G1725" s="195">
        <f>B1725/F1725*1000</f>
        <v>16.33259094283593</v>
      </c>
      <c r="I1725" s="1578" t="s">
        <v>589</v>
      </c>
      <c r="J1725" s="1487"/>
      <c r="K1725" s="1487">
        <v>3.99</v>
      </c>
      <c r="L1725" s="1488">
        <v>500</v>
      </c>
      <c r="M1725" s="1487">
        <f aca="true" t="shared" si="136" ref="M1725:M1731">K1725/L1725*1000</f>
        <v>7.980000000000001</v>
      </c>
      <c r="O1725" s="24" t="s">
        <v>228</v>
      </c>
    </row>
    <row r="1726" spans="2:15" s="851" customFormat="1" ht="12.75">
      <c r="B1726" s="498"/>
      <c r="C1726" s="498"/>
      <c r="D1726" s="498"/>
      <c r="E1726" s="742"/>
      <c r="F1726" s="1369">
        <v>1507</v>
      </c>
      <c r="G1726" s="498"/>
      <c r="H1726" s="1370">
        <f>M1726/F1726*100000</f>
        <v>514.1719594274339</v>
      </c>
      <c r="I1726" s="993" t="s">
        <v>802</v>
      </c>
      <c r="J1726" s="1012">
        <v>3.39</v>
      </c>
      <c r="K1726" s="850">
        <f>J1726*0.8</f>
        <v>2.712</v>
      </c>
      <c r="L1726" s="851">
        <v>350</v>
      </c>
      <c r="M1726" s="850">
        <f t="shared" si="136"/>
        <v>7.748571428571429</v>
      </c>
      <c r="N1726" s="1348"/>
      <c r="O1726" s="1217" t="s">
        <v>848</v>
      </c>
    </row>
    <row r="1727" spans="2:15" s="851" customFormat="1" ht="12.75">
      <c r="B1727" s="498"/>
      <c r="C1727" s="498"/>
      <c r="D1727" s="498"/>
      <c r="E1727" s="742"/>
      <c r="F1727" s="1369">
        <v>1507</v>
      </c>
      <c r="G1727" s="498"/>
      <c r="H1727" s="1370">
        <f>M1727/F1727*100000</f>
        <v>352.4054412740544</v>
      </c>
      <c r="I1727" s="993" t="s">
        <v>2590</v>
      </c>
      <c r="J1727" s="1012">
        <v>2.19</v>
      </c>
      <c r="K1727" s="850">
        <f>J1727*0.97</f>
        <v>2.1243</v>
      </c>
      <c r="L1727" s="851">
        <v>400</v>
      </c>
      <c r="M1727" s="850">
        <f t="shared" si="136"/>
        <v>5.31075</v>
      </c>
      <c r="N1727" s="1348"/>
      <c r="O1727" s="1217" t="s">
        <v>848</v>
      </c>
    </row>
    <row r="1728" spans="2:15" ht="12.75">
      <c r="B1728" s="195">
        <v>20</v>
      </c>
      <c r="C1728" s="195">
        <v>49.7</v>
      </c>
      <c r="D1728" s="195">
        <v>6.7</v>
      </c>
      <c r="F1728" s="198">
        <v>1507</v>
      </c>
      <c r="G1728" s="195">
        <f>B1728/F1728*1000</f>
        <v>13.271400132714001</v>
      </c>
      <c r="H1728" s="1212">
        <f>M1728/F1728*100000</f>
        <v>595.5540809555407</v>
      </c>
      <c r="I1728" s="28" t="s">
        <v>1832</v>
      </c>
      <c r="J1728" s="29"/>
      <c r="K1728" s="29">
        <v>3.59</v>
      </c>
      <c r="L1728" s="30">
        <v>400</v>
      </c>
      <c r="M1728" s="29">
        <f t="shared" si="136"/>
        <v>8.975</v>
      </c>
      <c r="N1728" s="310"/>
      <c r="O1728" s="88" t="s">
        <v>754</v>
      </c>
    </row>
    <row r="1729" spans="9:15" ht="12.75">
      <c r="I1729" s="28" t="s">
        <v>1965</v>
      </c>
      <c r="J1729" s="29"/>
      <c r="K1729" s="29">
        <v>3.69</v>
      </c>
      <c r="L1729" s="30">
        <v>500</v>
      </c>
      <c r="M1729" s="29">
        <f t="shared" si="136"/>
        <v>7.38</v>
      </c>
      <c r="N1729" s="310"/>
      <c r="O1729" s="88" t="s">
        <v>644</v>
      </c>
    </row>
    <row r="1730" spans="9:15" ht="12.75">
      <c r="I1730" s="28" t="s">
        <v>82</v>
      </c>
      <c r="J1730" s="29">
        <v>3.89</v>
      </c>
      <c r="K1730" s="29">
        <f>J1730*0.98</f>
        <v>3.8122000000000003</v>
      </c>
      <c r="L1730" s="30">
        <v>500</v>
      </c>
      <c r="M1730" s="29">
        <f t="shared" si="136"/>
        <v>7.6244000000000005</v>
      </c>
      <c r="O1730" s="716" t="s">
        <v>337</v>
      </c>
    </row>
    <row r="1731" spans="9:15" ht="12.75">
      <c r="I1731" s="28" t="s">
        <v>1502</v>
      </c>
      <c r="J1731" s="29"/>
      <c r="K1731" s="29">
        <v>3.99</v>
      </c>
      <c r="L1731" s="30">
        <v>500</v>
      </c>
      <c r="M1731" s="29">
        <f t="shared" si="136"/>
        <v>7.980000000000001</v>
      </c>
      <c r="O1731" s="24" t="s">
        <v>289</v>
      </c>
    </row>
    <row r="1732" spans="9:13" ht="12.75">
      <c r="I1732" s="37"/>
      <c r="J1732" s="5"/>
      <c r="K1732" s="32"/>
      <c r="M1732" s="5"/>
    </row>
    <row r="1733" spans="9:13" ht="12.75">
      <c r="I1733" s="37"/>
      <c r="J1733" s="5"/>
      <c r="K1733" s="32"/>
      <c r="M1733" s="5"/>
    </row>
    <row r="1734" spans="2:20" s="3" customFormat="1" ht="15.75">
      <c r="B1734" s="196"/>
      <c r="C1734" s="196"/>
      <c r="D1734" s="196"/>
      <c r="E1734" s="738"/>
      <c r="F1734" s="199"/>
      <c r="G1734" s="196"/>
      <c r="H1734" s="196"/>
      <c r="I1734" s="233" t="s">
        <v>1532</v>
      </c>
      <c r="J1734" s="177"/>
      <c r="K1734" s="8"/>
      <c r="M1734" s="8"/>
      <c r="N1734" s="14"/>
      <c r="O1734" s="50"/>
      <c r="T1734" s="11"/>
    </row>
    <row r="1735" spans="2:20" s="3" customFormat="1" ht="12.75">
      <c r="B1735" s="196">
        <v>43</v>
      </c>
      <c r="C1735" s="196">
        <v>10</v>
      </c>
      <c r="D1735" s="196">
        <v>12</v>
      </c>
      <c r="E1735" s="738"/>
      <c r="F1735" s="199">
        <v>1340</v>
      </c>
      <c r="G1735" s="195">
        <f>B1735/F1735*1000</f>
        <v>32.08955223880597</v>
      </c>
      <c r="H1735" s="195"/>
      <c r="I1735" s="697" t="s">
        <v>2643</v>
      </c>
      <c r="J1735" s="666">
        <v>5.49</v>
      </c>
      <c r="K1735" s="501">
        <f>J1735*0.97</f>
        <v>5.3253</v>
      </c>
      <c r="L1735" s="667">
        <v>500</v>
      </c>
      <c r="M1735" s="321">
        <f>K1735/L1735*1000</f>
        <v>10.6506</v>
      </c>
      <c r="N1735" s="597"/>
      <c r="O1735" s="669" t="s">
        <v>385</v>
      </c>
      <c r="T1735" s="11"/>
    </row>
    <row r="1736" spans="2:20" s="3" customFormat="1" ht="12.75">
      <c r="B1736" s="196">
        <v>43</v>
      </c>
      <c r="C1736" s="196">
        <v>10</v>
      </c>
      <c r="D1736" s="196">
        <v>12</v>
      </c>
      <c r="E1736" s="738"/>
      <c r="F1736" s="199">
        <v>1340</v>
      </c>
      <c r="G1736" s="195">
        <f>B1736/F1736*1000</f>
        <v>32.08955223880597</v>
      </c>
      <c r="H1736" s="195"/>
      <c r="I1736" s="520" t="s">
        <v>1131</v>
      </c>
      <c r="J1736" s="521">
        <v>6.99</v>
      </c>
      <c r="K1736" s="523">
        <f>J1736*0.97</f>
        <v>6.7803</v>
      </c>
      <c r="L1736" s="522">
        <v>300</v>
      </c>
      <c r="M1736" s="850">
        <f>K1736/L1736*1000</f>
        <v>22.601000000000003</v>
      </c>
      <c r="N1736" s="597"/>
      <c r="O1736" s="669" t="s">
        <v>1521</v>
      </c>
      <c r="T1736" s="11"/>
    </row>
    <row r="1737" spans="9:13" ht="12.75">
      <c r="I1737" s="31"/>
      <c r="J1737" s="5"/>
      <c r="K1737" s="32"/>
      <c r="M1737" s="5"/>
    </row>
    <row r="1738" spans="9:11" ht="15.75">
      <c r="I1738" s="109" t="s">
        <v>1109</v>
      </c>
      <c r="J1738" s="5"/>
      <c r="K1738" s="32"/>
    </row>
    <row r="1739" spans="2:15" ht="12.75">
      <c r="B1739" s="195">
        <v>41</v>
      </c>
      <c r="C1739" s="195">
        <v>3.1</v>
      </c>
      <c r="D1739" s="195">
        <v>21</v>
      </c>
      <c r="F1739" s="198">
        <v>1679</v>
      </c>
      <c r="G1739" s="319">
        <f>B1739/F1739*1000</f>
        <v>24.419297200714713</v>
      </c>
      <c r="H1739" s="1213">
        <f>M1739/F1739*100000</f>
        <v>406.32651710674344</v>
      </c>
      <c r="I1739" s="2" t="s">
        <v>2990</v>
      </c>
      <c r="K1739" s="58">
        <v>12.28</v>
      </c>
      <c r="L1739" s="39">
        <v>1800</v>
      </c>
      <c r="M1739" s="58">
        <f>K1739/L1739*1000</f>
        <v>6.822222222222222</v>
      </c>
      <c r="O1739" s="88" t="s">
        <v>706</v>
      </c>
    </row>
    <row r="1740" spans="2:15" s="447" customFormat="1" ht="12.75">
      <c r="B1740" s="319"/>
      <c r="C1740" s="319"/>
      <c r="D1740" s="319"/>
      <c r="E1740" s="735"/>
      <c r="F1740" s="483"/>
      <c r="G1740" s="319"/>
      <c r="H1740" s="1213"/>
      <c r="I1740" s="86" t="s">
        <v>372</v>
      </c>
      <c r="J1740" s="321"/>
      <c r="K1740" s="321"/>
      <c r="M1740" s="490">
        <v>10.2</v>
      </c>
      <c r="O1740" s="716" t="s">
        <v>2168</v>
      </c>
    </row>
    <row r="1741" spans="2:15" s="447" customFormat="1" ht="12.75">
      <c r="B1741" s="319">
        <v>40.8</v>
      </c>
      <c r="C1741" s="319">
        <v>3.1</v>
      </c>
      <c r="D1741" s="319">
        <v>20.6</v>
      </c>
      <c r="E1741" s="735"/>
      <c r="F1741" s="483">
        <v>1449</v>
      </c>
      <c r="G1741" s="319">
        <f>B1741/F1741*1000</f>
        <v>28.15734989648033</v>
      </c>
      <c r="H1741" s="1213">
        <f>M1741/F1741*100000</f>
        <v>619.0862663906142</v>
      </c>
      <c r="I1741" s="399" t="s">
        <v>253</v>
      </c>
      <c r="J1741" s="321">
        <f>2.89*0.8</f>
        <v>2.3120000000000003</v>
      </c>
      <c r="K1741" s="321">
        <f>J1741*0.97</f>
        <v>2.24264</v>
      </c>
      <c r="L1741" s="447">
        <v>250</v>
      </c>
      <c r="M1741" s="18">
        <f>K1741/L1741*1000</f>
        <v>8.97056</v>
      </c>
      <c r="N1741" s="798" t="s">
        <v>2697</v>
      </c>
      <c r="O1741" s="448" t="s">
        <v>2768</v>
      </c>
    </row>
    <row r="1742" spans="2:15" s="447" customFormat="1" ht="12.75">
      <c r="B1742" s="319">
        <v>40.8</v>
      </c>
      <c r="C1742" s="319">
        <v>3.1</v>
      </c>
      <c r="D1742" s="319">
        <v>20.6</v>
      </c>
      <c r="E1742" s="735"/>
      <c r="F1742" s="483">
        <v>1449</v>
      </c>
      <c r="G1742" s="319">
        <f>B1742/F1742*1000</f>
        <v>28.15734989648033</v>
      </c>
      <c r="H1742" s="1213">
        <f>M1742/F1742*100000</f>
        <v>720.303657694962</v>
      </c>
      <c r="I1742" s="399" t="s">
        <v>253</v>
      </c>
      <c r="J1742" s="321">
        <v>2.69</v>
      </c>
      <c r="K1742" s="321">
        <f>J1742*0.97</f>
        <v>2.6092999999999997</v>
      </c>
      <c r="L1742" s="447">
        <v>250</v>
      </c>
      <c r="M1742" s="1128">
        <f>K1742/L1742*1000</f>
        <v>10.437199999999999</v>
      </c>
      <c r="O1742" s="448" t="s">
        <v>3032</v>
      </c>
    </row>
    <row r="1743" spans="2:15" s="447" customFormat="1" ht="12.75">
      <c r="B1743" s="319">
        <v>40.8</v>
      </c>
      <c r="C1743" s="319">
        <v>3.1</v>
      </c>
      <c r="D1743" s="319">
        <v>20.6</v>
      </c>
      <c r="E1743" s="735"/>
      <c r="F1743" s="483">
        <v>1449</v>
      </c>
      <c r="G1743" s="319">
        <f>B1743/F1743*1000</f>
        <v>28.15734989648033</v>
      </c>
      <c r="H1743" s="1213">
        <f>M1743/F1743*100000</f>
        <v>693.5265700483092</v>
      </c>
      <c r="I1743" s="399" t="s">
        <v>253</v>
      </c>
      <c r="J1743" s="321">
        <v>2.59</v>
      </c>
      <c r="K1743" s="321">
        <f>J1743*0.97</f>
        <v>2.5122999999999998</v>
      </c>
      <c r="L1743" s="447">
        <v>250</v>
      </c>
      <c r="M1743" s="18">
        <f>K1743/L1743*1000</f>
        <v>10.049199999999999</v>
      </c>
      <c r="O1743" s="448" t="s">
        <v>2337</v>
      </c>
    </row>
    <row r="1744" spans="2:15" s="859" customFormat="1" ht="11.25">
      <c r="B1744" s="853">
        <v>53</v>
      </c>
      <c r="C1744" s="853">
        <v>7.4</v>
      </c>
      <c r="D1744" s="853">
        <v>1</v>
      </c>
      <c r="E1744" s="854"/>
      <c r="F1744" s="855">
        <v>1066</v>
      </c>
      <c r="G1744" s="853">
        <f>B1744/F1744*1000</f>
        <v>49.71857410881801</v>
      </c>
      <c r="H1744" s="853"/>
      <c r="I1744" s="856" t="s">
        <v>1831</v>
      </c>
      <c r="J1744" s="858">
        <v>2.89</v>
      </c>
      <c r="K1744" s="858">
        <f>J1744*0.97</f>
        <v>2.8033</v>
      </c>
      <c r="L1744" s="859">
        <v>250</v>
      </c>
      <c r="M1744" s="858">
        <f>K1744/L1744*1000</f>
        <v>11.2132</v>
      </c>
      <c r="O1744" s="862" t="s">
        <v>354</v>
      </c>
    </row>
    <row r="1745" spans="2:15" s="42" customFormat="1" ht="12.75">
      <c r="B1745" s="648"/>
      <c r="C1745" s="648"/>
      <c r="D1745" s="648"/>
      <c r="E1745" s="795"/>
      <c r="F1745" s="389">
        <v>1449</v>
      </c>
      <c r="G1745" s="648"/>
      <c r="H1745" s="274">
        <f>M1745/F1745*100000</f>
        <v>412.69841269841277</v>
      </c>
      <c r="I1745" s="56" t="s">
        <v>1830</v>
      </c>
      <c r="J1745" s="41"/>
      <c r="K1745" s="57">
        <v>2.99</v>
      </c>
      <c r="L1745" s="20">
        <v>500</v>
      </c>
      <c r="M1745" s="57">
        <f aca="true" t="shared" si="137" ref="M1745:M1756">K1745/L1745*1000</f>
        <v>5.98</v>
      </c>
      <c r="N1745" s="492" t="s">
        <v>1139</v>
      </c>
      <c r="O1745" s="125" t="s">
        <v>2877</v>
      </c>
    </row>
    <row r="1746" spans="2:15" ht="12.75">
      <c r="B1746" s="195">
        <v>44.5</v>
      </c>
      <c r="C1746" s="288">
        <v>12.5</v>
      </c>
      <c r="D1746" s="195">
        <v>20.9</v>
      </c>
      <c r="F1746" s="198">
        <v>1822</v>
      </c>
      <c r="G1746" s="195">
        <f>B1746/F1746*1000</f>
        <v>24.42371020856202</v>
      </c>
      <c r="I1746" s="17" t="s">
        <v>3066</v>
      </c>
      <c r="J1746" s="18"/>
      <c r="K1746" s="18">
        <v>2.79</v>
      </c>
      <c r="L1746" s="19">
        <v>350</v>
      </c>
      <c r="M1746" s="18">
        <f>K1746/L1746*1000</f>
        <v>7.971428571428572</v>
      </c>
      <c r="N1746" s="108"/>
      <c r="O1746" s="88" t="s">
        <v>18</v>
      </c>
    </row>
    <row r="1747" spans="2:15" ht="12.75">
      <c r="B1747" s="195">
        <v>39.6</v>
      </c>
      <c r="C1747" s="288">
        <v>14.3</v>
      </c>
      <c r="D1747" s="195">
        <v>22.3</v>
      </c>
      <c r="F1747" s="198">
        <v>1742</v>
      </c>
      <c r="G1747" s="195">
        <f>B1747/F1747*1000</f>
        <v>22.73249138920781</v>
      </c>
      <c r="I1747" s="17" t="s">
        <v>3066</v>
      </c>
      <c r="J1747" s="18"/>
      <c r="K1747" s="18">
        <v>2.79</v>
      </c>
      <c r="L1747" s="19">
        <v>350</v>
      </c>
      <c r="M1747" s="18">
        <f t="shared" si="137"/>
        <v>7.971428571428572</v>
      </c>
      <c r="N1747" s="108"/>
      <c r="O1747" s="88" t="s">
        <v>1663</v>
      </c>
    </row>
    <row r="1748" spans="2:15" ht="15">
      <c r="B1748" s="195">
        <v>37.3</v>
      </c>
      <c r="C1748" s="288">
        <v>3.1</v>
      </c>
      <c r="D1748" s="195">
        <v>20.6</v>
      </c>
      <c r="F1748" s="198">
        <v>1449</v>
      </c>
      <c r="G1748" s="195">
        <f>B1748/F1748*1000</f>
        <v>25.741890959282262</v>
      </c>
      <c r="I1748" s="59" t="s">
        <v>726</v>
      </c>
      <c r="J1748" s="685" t="s">
        <v>1604</v>
      </c>
      <c r="K1748" s="32">
        <v>2.29</v>
      </c>
      <c r="L1748">
        <v>250</v>
      </c>
      <c r="M1748" s="5">
        <f t="shared" si="137"/>
        <v>9.16</v>
      </c>
      <c r="N1748" s="108"/>
      <c r="O1748" s="88" t="s">
        <v>1663</v>
      </c>
    </row>
    <row r="1749" spans="9:15" ht="15">
      <c r="I1749" s="97" t="s">
        <v>738</v>
      </c>
      <c r="J1749" s="5"/>
      <c r="K1749" s="32">
        <v>2.39</v>
      </c>
      <c r="L1749">
        <v>250</v>
      </c>
      <c r="M1749" s="5">
        <f>K1749/L1749*1000</f>
        <v>9.56</v>
      </c>
      <c r="N1749" s="108"/>
      <c r="O1749" s="88" t="s">
        <v>2131</v>
      </c>
    </row>
    <row r="1750" spans="9:15" ht="12.75">
      <c r="I1750" s="2" t="s">
        <v>2756</v>
      </c>
      <c r="K1750" s="5">
        <v>2.39</v>
      </c>
      <c r="L1750">
        <v>250</v>
      </c>
      <c r="M1750" s="5">
        <f t="shared" si="137"/>
        <v>9.56</v>
      </c>
      <c r="O1750" s="88" t="s">
        <v>289</v>
      </c>
    </row>
    <row r="1751" spans="9:15" ht="12.75">
      <c r="I1751" s="2" t="s">
        <v>3117</v>
      </c>
      <c r="K1751" s="5">
        <v>2.15</v>
      </c>
      <c r="L1751">
        <v>250</v>
      </c>
      <c r="M1751" s="5">
        <f t="shared" si="137"/>
        <v>8.6</v>
      </c>
      <c r="O1751" s="88" t="s">
        <v>289</v>
      </c>
    </row>
    <row r="1752" spans="2:15" ht="12.75">
      <c r="B1752" s="195">
        <v>40.8</v>
      </c>
      <c r="C1752" s="195">
        <v>3.1</v>
      </c>
      <c r="D1752" s="195">
        <v>20.6</v>
      </c>
      <c r="F1752" s="198">
        <v>1449</v>
      </c>
      <c r="G1752" s="195">
        <f>B1752/F1752*1000</f>
        <v>28.15734989648033</v>
      </c>
      <c r="I1752" s="37" t="s">
        <v>2041</v>
      </c>
      <c r="J1752" s="32">
        <v>2.39</v>
      </c>
      <c r="K1752" s="32">
        <f>J1752*0.97</f>
        <v>2.3183000000000002</v>
      </c>
      <c r="L1752" s="33">
        <v>250</v>
      </c>
      <c r="M1752" s="32">
        <f>K1752/L1752*1000</f>
        <v>9.273200000000001</v>
      </c>
      <c r="O1752" s="24" t="s">
        <v>412</v>
      </c>
    </row>
    <row r="1753" spans="2:15" ht="12.75">
      <c r="B1753" s="195">
        <v>40.8</v>
      </c>
      <c r="C1753" s="195">
        <v>3.1</v>
      </c>
      <c r="D1753" s="195">
        <v>20.6</v>
      </c>
      <c r="F1753" s="198">
        <v>1449</v>
      </c>
      <c r="G1753" s="195">
        <f>B1753/F1753*1000</f>
        <v>28.15734989648033</v>
      </c>
      <c r="I1753" s="37" t="s">
        <v>2041</v>
      </c>
      <c r="J1753" s="29">
        <v>2.39</v>
      </c>
      <c r="K1753" s="29">
        <f>J1753*0.97</f>
        <v>2.3183000000000002</v>
      </c>
      <c r="L1753" s="30">
        <v>250</v>
      </c>
      <c r="M1753" s="29">
        <f t="shared" si="137"/>
        <v>9.273200000000001</v>
      </c>
      <c r="O1753" s="24" t="s">
        <v>289</v>
      </c>
    </row>
    <row r="1754" spans="9:15" ht="12.75">
      <c r="I1754" s="17" t="s">
        <v>3018</v>
      </c>
      <c r="J1754" s="18">
        <v>2.19</v>
      </c>
      <c r="K1754" s="18">
        <f>J1754*0.97</f>
        <v>2.1243</v>
      </c>
      <c r="L1754" s="19">
        <v>250</v>
      </c>
      <c r="M1754" s="18">
        <f t="shared" si="137"/>
        <v>8.4972</v>
      </c>
      <c r="O1754" s="24" t="s">
        <v>1531</v>
      </c>
    </row>
    <row r="1755" spans="9:15" ht="12.75">
      <c r="I1755" s="17" t="s">
        <v>3018</v>
      </c>
      <c r="J1755" s="18">
        <v>1.99</v>
      </c>
      <c r="K1755" s="18">
        <f>J1755*0.97</f>
        <v>1.9303</v>
      </c>
      <c r="L1755" s="19">
        <v>250</v>
      </c>
      <c r="M1755" s="18">
        <f t="shared" si="137"/>
        <v>7.7212</v>
      </c>
      <c r="O1755" s="24" t="s">
        <v>2657</v>
      </c>
    </row>
    <row r="1756" spans="9:15" ht="12.75">
      <c r="I1756" s="17" t="s">
        <v>3018</v>
      </c>
      <c r="J1756" s="29">
        <v>1.81</v>
      </c>
      <c r="K1756" s="29">
        <f>J1756*0.97</f>
        <v>1.7557</v>
      </c>
      <c r="L1756" s="30">
        <v>250</v>
      </c>
      <c r="M1756" s="29">
        <f t="shared" si="137"/>
        <v>7.0228</v>
      </c>
      <c r="O1756" s="24" t="s">
        <v>1035</v>
      </c>
    </row>
    <row r="1757" spans="9:14" ht="12.75">
      <c r="I1757" s="37"/>
      <c r="J1757" s="25"/>
      <c r="K1757" s="25"/>
      <c r="L1757" s="26"/>
      <c r="M1757" s="25"/>
      <c r="N1757" s="26"/>
    </row>
    <row r="1758" spans="9:13" ht="15.75">
      <c r="I1758" s="91" t="s">
        <v>67</v>
      </c>
      <c r="J1758" s="25"/>
      <c r="K1758" s="32"/>
      <c r="L1758" s="26"/>
      <c r="M1758" s="25"/>
    </row>
    <row r="1759" spans="2:15" ht="12.75">
      <c r="B1759" s="195">
        <v>50</v>
      </c>
      <c r="C1759" s="195">
        <v>16</v>
      </c>
      <c r="D1759" s="195">
        <v>9</v>
      </c>
      <c r="F1759" s="198">
        <v>1567</v>
      </c>
      <c r="G1759" s="195">
        <f>B1759/F1759*1000</f>
        <v>31.908104658583277</v>
      </c>
      <c r="H1759" s="1213">
        <f>M1759/F1759*100000</f>
        <v>1080.6211444373537</v>
      </c>
      <c r="I1759" s="1454" t="s">
        <v>3173</v>
      </c>
      <c r="J1759" s="1455"/>
      <c r="K1759" s="1456">
        <v>5.08</v>
      </c>
      <c r="L1759" s="1457">
        <v>300</v>
      </c>
      <c r="M1759" s="1458">
        <f>K1759/L1759*1000</f>
        <v>16.933333333333334</v>
      </c>
      <c r="N1759" s="817"/>
      <c r="O1759" s="88" t="s">
        <v>3169</v>
      </c>
    </row>
    <row r="1760" spans="8:15" ht="12.75">
      <c r="H1760" s="1213"/>
      <c r="I1760" s="1454" t="s">
        <v>1986</v>
      </c>
      <c r="J1760" s="1455"/>
      <c r="K1760" s="1456">
        <v>18.07</v>
      </c>
      <c r="L1760" s="1457">
        <v>1500</v>
      </c>
      <c r="M1760" s="1458">
        <f>K1760/L1760*1000</f>
        <v>12.046666666666667</v>
      </c>
      <c r="N1760" s="817"/>
      <c r="O1760" s="88" t="s">
        <v>1616</v>
      </c>
    </row>
    <row r="1761" spans="8:15" ht="12.75">
      <c r="H1761" s="1213"/>
      <c r="I1761" s="97" t="s">
        <v>2798</v>
      </c>
      <c r="J1761" s="61"/>
      <c r="K1761" s="41">
        <v>18.84</v>
      </c>
      <c r="L1761" s="42">
        <v>900</v>
      </c>
      <c r="M1761" s="98">
        <f>K1761/L1761*1000</f>
        <v>20.93333333333333</v>
      </c>
      <c r="N1761" s="817"/>
      <c r="O1761" s="88" t="s">
        <v>2799</v>
      </c>
    </row>
    <row r="1762" spans="2:15" ht="12.75">
      <c r="B1762" s="195">
        <v>49</v>
      </c>
      <c r="C1762" s="195">
        <v>16</v>
      </c>
      <c r="D1762" s="195">
        <v>7.6</v>
      </c>
      <c r="F1762" s="198">
        <v>1514</v>
      </c>
      <c r="G1762" s="195">
        <f>B1762/F1762*1000</f>
        <v>32.36459709379128</v>
      </c>
      <c r="H1762" s="1213">
        <f>M1762/F1762*100000</f>
        <v>766.1822985468956</v>
      </c>
      <c r="I1762" s="97" t="s">
        <v>1288</v>
      </c>
      <c r="J1762" s="61"/>
      <c r="K1762" s="41"/>
      <c r="L1762" s="42"/>
      <c r="M1762" s="41">
        <v>11.6</v>
      </c>
      <c r="N1762" s="817"/>
      <c r="O1762" s="88" t="s">
        <v>2808</v>
      </c>
    </row>
    <row r="1763" spans="2:15" ht="12.75">
      <c r="B1763" s="195">
        <v>50</v>
      </c>
      <c r="C1763" s="195">
        <v>14</v>
      </c>
      <c r="D1763" s="195">
        <v>8</v>
      </c>
      <c r="F1763" s="198">
        <v>1497</v>
      </c>
      <c r="G1763" s="195">
        <f>B1763/F1763*1000</f>
        <v>33.4001336005344</v>
      </c>
      <c r="H1763" s="1213">
        <f>M1763/F1763*100000</f>
        <v>861.7234468937876</v>
      </c>
      <c r="I1763" s="1468" t="s">
        <v>1360</v>
      </c>
      <c r="J1763" s="1502"/>
      <c r="K1763" s="1470"/>
      <c r="L1763" s="1471"/>
      <c r="M1763" s="1470">
        <v>12.9</v>
      </c>
      <c r="N1763" s="817"/>
      <c r="O1763" s="88" t="s">
        <v>1170</v>
      </c>
    </row>
    <row r="1764" spans="9:15" ht="12.75">
      <c r="I1764" s="86" t="s">
        <v>1052</v>
      </c>
      <c r="J1764" s="38"/>
      <c r="K1764" s="25"/>
      <c r="L1764" s="26"/>
      <c r="M1764" s="25">
        <v>13.3</v>
      </c>
      <c r="N1764" s="817"/>
      <c r="O1764" s="125" t="s">
        <v>2610</v>
      </c>
    </row>
    <row r="1765" spans="9:15" ht="12.75">
      <c r="I1765" s="86" t="s">
        <v>1499</v>
      </c>
      <c r="J1765" s="38"/>
      <c r="K1765" s="25">
        <v>1.95</v>
      </c>
      <c r="L1765" s="26">
        <v>150</v>
      </c>
      <c r="M1765" s="25">
        <f aca="true" t="shared" si="138" ref="M1765:M1770">K1765/L1765*1000</f>
        <v>13</v>
      </c>
      <c r="N1765" s="817"/>
      <c r="O1765" s="51" t="s">
        <v>2168</v>
      </c>
    </row>
    <row r="1766" spans="2:15" ht="12.75">
      <c r="B1766" s="195">
        <v>53</v>
      </c>
      <c r="C1766" s="195">
        <v>28</v>
      </c>
      <c r="D1766" s="195">
        <v>1.5</v>
      </c>
      <c r="F1766" s="198">
        <v>1495</v>
      </c>
      <c r="G1766" s="195">
        <f>B1766/F1766*1000</f>
        <v>35.45150501672241</v>
      </c>
      <c r="H1766" s="1213">
        <f>M1766/F1766*100000</f>
        <v>424.61538461538464</v>
      </c>
      <c r="I1766" s="119" t="s">
        <v>65</v>
      </c>
      <c r="J1766" s="160">
        <v>5.29</v>
      </c>
      <c r="K1766" s="18">
        <f>J1766*0.9</f>
        <v>4.761</v>
      </c>
      <c r="L1766" s="19">
        <v>750</v>
      </c>
      <c r="M1766" s="18">
        <f t="shared" si="138"/>
        <v>6.348000000000001</v>
      </c>
      <c r="N1766" s="817" t="s">
        <v>1398</v>
      </c>
      <c r="O1766" s="88" t="s">
        <v>3032</v>
      </c>
    </row>
    <row r="1767" spans="2:15" ht="12.75">
      <c r="B1767" s="195">
        <v>53</v>
      </c>
      <c r="C1767" s="195">
        <v>28</v>
      </c>
      <c r="D1767" s="195">
        <v>1.5</v>
      </c>
      <c r="F1767" s="198">
        <v>1495</v>
      </c>
      <c r="G1767" s="195">
        <f>B1767/F1767*1000</f>
        <v>35.45150501672241</v>
      </c>
      <c r="H1767" s="1213">
        <f>M1767/F1767*100000</f>
        <v>457.6410256410255</v>
      </c>
      <c r="I1767" s="119" t="s">
        <v>65</v>
      </c>
      <c r="J1767" s="160">
        <v>5.29</v>
      </c>
      <c r="K1767" s="18">
        <f>J1767*0.97</f>
        <v>5.1312999999999995</v>
      </c>
      <c r="L1767" s="19">
        <v>750</v>
      </c>
      <c r="M1767" s="18">
        <f t="shared" si="138"/>
        <v>6.841733333333332</v>
      </c>
      <c r="N1767" s="817"/>
      <c r="O1767" s="51" t="s">
        <v>3032</v>
      </c>
    </row>
    <row r="1768" spans="2:15" ht="12.75">
      <c r="B1768" s="195">
        <v>53</v>
      </c>
      <c r="C1768" s="195">
        <v>28</v>
      </c>
      <c r="D1768" s="195">
        <v>1.5</v>
      </c>
      <c r="F1768" s="198">
        <v>1495</v>
      </c>
      <c r="G1768" s="195">
        <f>B1768/F1768*1000</f>
        <v>35.45150501672241</v>
      </c>
      <c r="H1768" s="1213">
        <f>M1768/F1768*100000</f>
        <v>431.6878483835006</v>
      </c>
      <c r="I1768" s="71" t="s">
        <v>65</v>
      </c>
      <c r="J1768" s="96">
        <v>4.99</v>
      </c>
      <c r="K1768" s="29">
        <f>J1768*0.97</f>
        <v>4.8403</v>
      </c>
      <c r="L1768" s="30">
        <v>750</v>
      </c>
      <c r="M1768" s="29">
        <f t="shared" si="138"/>
        <v>6.453733333333334</v>
      </c>
      <c r="N1768" s="817"/>
      <c r="O1768" s="88" t="s">
        <v>2877</v>
      </c>
    </row>
    <row r="1769" spans="9:15" ht="12.75">
      <c r="I1769" s="266" t="s">
        <v>2504</v>
      </c>
      <c r="J1769" s="120">
        <v>8.29</v>
      </c>
      <c r="K1769" s="22">
        <f>J1769*0.97</f>
        <v>8.0413</v>
      </c>
      <c r="L1769" s="23">
        <v>750</v>
      </c>
      <c r="M1769" s="22">
        <f t="shared" si="138"/>
        <v>10.721733333333333</v>
      </c>
      <c r="O1769" s="88" t="s">
        <v>1669</v>
      </c>
    </row>
    <row r="1770" spans="9:15" ht="12.75">
      <c r="I1770" s="109" t="s">
        <v>1399</v>
      </c>
      <c r="J1770" s="120">
        <v>7.49</v>
      </c>
      <c r="K1770" s="22">
        <f>J1770*0.97</f>
        <v>7.2653</v>
      </c>
      <c r="L1770" s="23">
        <v>750</v>
      </c>
      <c r="M1770" s="22">
        <f t="shared" si="138"/>
        <v>9.687066666666666</v>
      </c>
      <c r="O1770" s="88" t="s">
        <v>1494</v>
      </c>
    </row>
    <row r="1771" spans="9:15" ht="12.75">
      <c r="I1771" s="21" t="s">
        <v>3051</v>
      </c>
      <c r="J1771" s="22">
        <v>2.99</v>
      </c>
      <c r="K1771" s="22">
        <f>J1771*0.97</f>
        <v>2.9003</v>
      </c>
      <c r="L1771" s="23">
        <v>250</v>
      </c>
      <c r="M1771" s="22">
        <f>K1771/L1771*1000</f>
        <v>11.6012</v>
      </c>
      <c r="O1771" s="24" t="s">
        <v>1244</v>
      </c>
    </row>
    <row r="1772" spans="2:15" ht="12.75">
      <c r="B1772" s="195">
        <v>48</v>
      </c>
      <c r="C1772" s="195">
        <v>15</v>
      </c>
      <c r="D1772" s="195">
        <v>6.1</v>
      </c>
      <c r="F1772" s="198">
        <v>1297</v>
      </c>
      <c r="G1772" s="195">
        <f>B1772/F1772*1000</f>
        <v>37.008481110254436</v>
      </c>
      <c r="I1772" s="340" t="s">
        <v>342</v>
      </c>
      <c r="J1772" s="98"/>
      <c r="K1772" s="98">
        <v>2.29</v>
      </c>
      <c r="L1772" s="640">
        <v>200</v>
      </c>
      <c r="M1772" s="98">
        <f>K1772/L1772*1000</f>
        <v>11.45</v>
      </c>
      <c r="N1772" s="3"/>
      <c r="O1772" s="50" t="s">
        <v>1244</v>
      </c>
    </row>
    <row r="1773" spans="9:15" ht="12.75">
      <c r="I1773" s="340"/>
      <c r="J1773" s="98"/>
      <c r="K1773" s="98"/>
      <c r="L1773" s="640"/>
      <c r="M1773" s="98"/>
      <c r="N1773" s="3"/>
      <c r="O1773" s="50"/>
    </row>
    <row r="1774" spans="9:13" ht="15.75">
      <c r="I1774" s="91" t="s">
        <v>2460</v>
      </c>
      <c r="J1774" s="25"/>
      <c r="K1774" s="32"/>
      <c r="L1774" s="26"/>
      <c r="M1774" s="25"/>
    </row>
    <row r="1775" spans="6:15" ht="12.75">
      <c r="F1775" s="483"/>
      <c r="H1775" s="1213"/>
      <c r="I1775" s="86" t="s">
        <v>2991</v>
      </c>
      <c r="J1775" s="41"/>
      <c r="K1775" s="41">
        <v>23.77</v>
      </c>
      <c r="L1775" s="42">
        <v>3000</v>
      </c>
      <c r="M1775" s="41">
        <f aca="true" t="shared" si="139" ref="M1775:M1785">K1775/L1775*1000</f>
        <v>7.923333333333333</v>
      </c>
      <c r="O1775" s="716" t="s">
        <v>2988</v>
      </c>
    </row>
    <row r="1776" spans="6:15" ht="12.75">
      <c r="F1776" s="483"/>
      <c r="H1776" s="1213"/>
      <c r="I1776" s="86" t="s">
        <v>1053</v>
      </c>
      <c r="J1776" s="41"/>
      <c r="K1776" s="41"/>
      <c r="L1776" s="42"/>
      <c r="M1776" s="41">
        <v>8</v>
      </c>
      <c r="O1776" s="24" t="s">
        <v>2610</v>
      </c>
    </row>
    <row r="1777" spans="2:15" ht="12.75">
      <c r="B1777" s="195">
        <v>41</v>
      </c>
      <c r="C1777" s="195">
        <v>3</v>
      </c>
      <c r="D1777" s="195">
        <v>21</v>
      </c>
      <c r="F1777" s="483">
        <v>1677</v>
      </c>
      <c r="G1777" s="195">
        <f>B1777/F1777*1000</f>
        <v>24.448419797257007</v>
      </c>
      <c r="H1777" s="1213">
        <f>M1777/F1777*100000</f>
        <v>286.22540250447224</v>
      </c>
      <c r="I1777" s="59" t="s">
        <v>208</v>
      </c>
      <c r="J1777" s="41"/>
      <c r="K1777" s="41">
        <v>2.4</v>
      </c>
      <c r="L1777" s="42">
        <v>500</v>
      </c>
      <c r="M1777" s="1523">
        <f>K1777/L1777*1000</f>
        <v>4.8</v>
      </c>
      <c r="O1777" s="1485" t="s">
        <v>3144</v>
      </c>
    </row>
    <row r="1778" spans="2:15" ht="12.75">
      <c r="B1778" s="195">
        <v>41</v>
      </c>
      <c r="C1778" s="195">
        <v>3</v>
      </c>
      <c r="D1778" s="195">
        <v>21</v>
      </c>
      <c r="F1778" s="483">
        <v>1677</v>
      </c>
      <c r="G1778" s="195">
        <f>B1778/F1778*1000</f>
        <v>24.448419797257007</v>
      </c>
      <c r="H1778" s="1213">
        <f>M1778/F1778*100000</f>
        <v>274.2993440667859</v>
      </c>
      <c r="I1778" s="1486" t="s">
        <v>208</v>
      </c>
      <c r="J1778" s="1487"/>
      <c r="K1778" s="1487">
        <v>2.3</v>
      </c>
      <c r="L1778" s="1488">
        <v>500</v>
      </c>
      <c r="M1778" s="1487">
        <f t="shared" si="139"/>
        <v>4.6</v>
      </c>
      <c r="O1778" s="1489" t="s">
        <v>2988</v>
      </c>
    </row>
    <row r="1779" spans="6:15" ht="12.75">
      <c r="F1779" s="389">
        <v>1657</v>
      </c>
      <c r="H1779" s="274">
        <f>M1779/F1779*100000</f>
        <v>346.52987326493667</v>
      </c>
      <c r="I1779" s="109" t="s">
        <v>2204</v>
      </c>
      <c r="J1779" s="22"/>
      <c r="K1779" s="22">
        <f>3.19*0.9</f>
        <v>2.871</v>
      </c>
      <c r="L1779" s="23">
        <v>500</v>
      </c>
      <c r="M1779" s="22">
        <f t="shared" si="139"/>
        <v>5.742</v>
      </c>
      <c r="N1779" s="423" t="s">
        <v>1398</v>
      </c>
      <c r="O1779" s="24" t="s">
        <v>2071</v>
      </c>
    </row>
    <row r="1780" spans="6:15" ht="12.75">
      <c r="F1780" s="389">
        <v>1657</v>
      </c>
      <c r="H1780" s="274">
        <f>M1780/F1780*100000</f>
        <v>373.4821967410984</v>
      </c>
      <c r="I1780" s="109" t="s">
        <v>2204</v>
      </c>
      <c r="J1780" s="22">
        <v>3.19</v>
      </c>
      <c r="K1780" s="22">
        <f>J1780*0.97</f>
        <v>3.0943</v>
      </c>
      <c r="L1780" s="23">
        <v>500</v>
      </c>
      <c r="M1780" s="22">
        <f t="shared" si="139"/>
        <v>6.1886</v>
      </c>
      <c r="N1780" s="23"/>
      <c r="O1780" s="24" t="s">
        <v>2071</v>
      </c>
    </row>
    <row r="1781" spans="6:15" ht="12.75">
      <c r="F1781" s="389">
        <v>1657</v>
      </c>
      <c r="H1781" s="274">
        <f>M1781/F1781*100000</f>
        <v>350.06638503319255</v>
      </c>
      <c r="I1781" s="109" t="s">
        <v>2204</v>
      </c>
      <c r="J1781" s="22">
        <v>2.99</v>
      </c>
      <c r="K1781" s="22">
        <f>J1781*0.97</f>
        <v>2.9003</v>
      </c>
      <c r="L1781" s="23">
        <v>500</v>
      </c>
      <c r="M1781" s="22">
        <f t="shared" si="139"/>
        <v>5.8006</v>
      </c>
      <c r="N1781" s="23"/>
      <c r="O1781" s="24" t="s">
        <v>269</v>
      </c>
    </row>
    <row r="1782" spans="2:15" ht="15">
      <c r="B1782" s="195">
        <v>37.3</v>
      </c>
      <c r="C1782" s="195">
        <v>3.1</v>
      </c>
      <c r="D1782" s="195">
        <v>20.6</v>
      </c>
      <c r="F1782" s="198">
        <v>1449</v>
      </c>
      <c r="G1782" s="195">
        <f>B1782/F1782*1000</f>
        <v>25.741890959282262</v>
      </c>
      <c r="I1782" s="28" t="s">
        <v>860</v>
      </c>
      <c r="J1782" s="29"/>
      <c r="K1782" s="29">
        <v>3.39</v>
      </c>
      <c r="L1782" s="30">
        <v>500</v>
      </c>
      <c r="M1782" s="29">
        <f t="shared" si="139"/>
        <v>6.78</v>
      </c>
      <c r="N1782" s="108"/>
      <c r="O1782" s="24" t="s">
        <v>1251</v>
      </c>
    </row>
    <row r="1783" spans="2:15" ht="15">
      <c r="B1783" s="195">
        <v>37.3</v>
      </c>
      <c r="C1783" s="195">
        <v>3.1</v>
      </c>
      <c r="D1783" s="195">
        <v>20.6</v>
      </c>
      <c r="F1783" s="198">
        <v>1449</v>
      </c>
      <c r="G1783" s="195">
        <f>B1783/F1783*1000</f>
        <v>25.741890959282262</v>
      </c>
      <c r="I1783" s="28" t="s">
        <v>860</v>
      </c>
      <c r="J1783" s="29"/>
      <c r="K1783" s="29">
        <v>2.99</v>
      </c>
      <c r="L1783" s="30">
        <v>500</v>
      </c>
      <c r="M1783" s="29">
        <f t="shared" si="139"/>
        <v>5.98</v>
      </c>
      <c r="N1783" s="108"/>
      <c r="O1783" s="24" t="s">
        <v>752</v>
      </c>
    </row>
    <row r="1784" spans="9:15" ht="12.75">
      <c r="I1784" s="43" t="s">
        <v>508</v>
      </c>
      <c r="J1784" s="96"/>
      <c r="K1784" s="29">
        <v>2.99</v>
      </c>
      <c r="L1784" s="30">
        <v>500</v>
      </c>
      <c r="M1784" s="29">
        <f t="shared" si="139"/>
        <v>5.98</v>
      </c>
      <c r="O1784" s="24" t="s">
        <v>942</v>
      </c>
    </row>
    <row r="1785" spans="9:15" ht="14.25">
      <c r="I1785" s="43" t="s">
        <v>81</v>
      </c>
      <c r="J1785" s="96">
        <v>3.19</v>
      </c>
      <c r="K1785" s="29">
        <f>J1785*0.98</f>
        <v>3.1262</v>
      </c>
      <c r="L1785" s="33">
        <v>500</v>
      </c>
      <c r="M1785" s="32">
        <f t="shared" si="139"/>
        <v>6.2524</v>
      </c>
      <c r="O1785" s="716" t="s">
        <v>337</v>
      </c>
    </row>
    <row r="1786" ht="12.75"/>
    <row r="1787" spans="9:10" ht="15.75">
      <c r="I1787" s="52" t="s">
        <v>1863</v>
      </c>
      <c r="J1787" s="153"/>
    </row>
    <row r="1788" spans="9:15" ht="12.75">
      <c r="I1788" s="1377" t="s">
        <v>1001</v>
      </c>
      <c r="J1788" s="1378"/>
      <c r="K1788" s="1379">
        <v>11.9</v>
      </c>
      <c r="L1788" s="1380">
        <v>250</v>
      </c>
      <c r="M1788" s="1379">
        <f aca="true" t="shared" si="140" ref="M1788:M1793">K1788/L1788*1000</f>
        <v>47.6</v>
      </c>
      <c r="O1788" s="24" t="s">
        <v>175</v>
      </c>
    </row>
    <row r="1789" spans="9:15" ht="12.75">
      <c r="I1789" s="1373" t="s">
        <v>1536</v>
      </c>
      <c r="J1789" s="1374"/>
      <c r="K1789" s="1375">
        <v>3.99</v>
      </c>
      <c r="L1789" s="1376">
        <v>65</v>
      </c>
      <c r="M1789" s="1375">
        <f t="shared" si="140"/>
        <v>61.38461538461539</v>
      </c>
      <c r="O1789" s="24" t="s">
        <v>689</v>
      </c>
    </row>
    <row r="1790" spans="9:15" ht="12.75">
      <c r="I1790" s="71" t="s">
        <v>1899</v>
      </c>
      <c r="J1790" s="96"/>
      <c r="K1790" s="29">
        <v>4.69</v>
      </c>
      <c r="L1790" s="30">
        <v>75</v>
      </c>
      <c r="M1790" s="29">
        <f t="shared" si="140"/>
        <v>62.533333333333346</v>
      </c>
      <c r="O1790" s="24" t="s">
        <v>1724</v>
      </c>
    </row>
    <row r="1791" spans="9:15" ht="12.75">
      <c r="I1791" s="28" t="s">
        <v>2010</v>
      </c>
      <c r="J1791" s="96">
        <v>4.39</v>
      </c>
      <c r="K1791" s="29">
        <f>J1791*0.97</f>
        <v>4.258299999999999</v>
      </c>
      <c r="L1791" s="30">
        <v>75</v>
      </c>
      <c r="M1791" s="29">
        <f t="shared" si="140"/>
        <v>56.777333333333324</v>
      </c>
      <c r="O1791" s="24" t="s">
        <v>2623</v>
      </c>
    </row>
    <row r="1792" spans="9:15" ht="12.75">
      <c r="I1792" s="71" t="s">
        <v>1380</v>
      </c>
      <c r="J1792" s="96"/>
      <c r="K1792" s="29">
        <v>4.24</v>
      </c>
      <c r="L1792" s="30">
        <v>75</v>
      </c>
      <c r="M1792" s="29">
        <f t="shared" si="140"/>
        <v>56.53333333333334</v>
      </c>
      <c r="O1792" s="24" t="s">
        <v>2695</v>
      </c>
    </row>
    <row r="1793" spans="9:15" ht="12.75">
      <c r="I1793" s="28" t="s">
        <v>1632</v>
      </c>
      <c r="J1793" s="96">
        <v>7.49</v>
      </c>
      <c r="K1793" s="29">
        <f>J1793*0.97</f>
        <v>7.2653</v>
      </c>
      <c r="L1793" s="30">
        <v>125</v>
      </c>
      <c r="M1793" s="29">
        <f t="shared" si="140"/>
        <v>58.1224</v>
      </c>
      <c r="O1793" s="24" t="s">
        <v>2695</v>
      </c>
    </row>
    <row r="1794" ht="12.75"/>
    <row r="1795" spans="9:10" ht="15.75">
      <c r="I1795" s="91" t="s">
        <v>1402</v>
      </c>
      <c r="J1795" s="153"/>
    </row>
    <row r="1796" spans="9:15" ht="15">
      <c r="I1796" s="31" t="s">
        <v>2524</v>
      </c>
      <c r="J1796" s="5"/>
      <c r="K1796" s="32">
        <v>2.99</v>
      </c>
      <c r="L1796">
        <v>1000</v>
      </c>
      <c r="M1796" s="5">
        <f>K1796/L1796*1000</f>
        <v>2.99</v>
      </c>
      <c r="O1796" s="24" t="s">
        <v>644</v>
      </c>
    </row>
    <row r="1797" spans="9:15" ht="12.75">
      <c r="I1797" s="31" t="s">
        <v>94</v>
      </c>
      <c r="J1797" s="5"/>
      <c r="K1797" s="32">
        <v>1.69</v>
      </c>
      <c r="L1797">
        <v>1000</v>
      </c>
      <c r="M1797" s="5">
        <f>K1797/L1797*1000</f>
        <v>1.69</v>
      </c>
      <c r="O1797" s="24" t="s">
        <v>943</v>
      </c>
    </row>
    <row r="1798" spans="9:13" ht="12.75">
      <c r="I1798" s="31"/>
      <c r="J1798" s="5"/>
      <c r="K1798" s="32"/>
      <c r="M1798" s="5"/>
    </row>
    <row r="1799" spans="9:10" ht="15.75">
      <c r="I1799" s="1136" t="s">
        <v>263</v>
      </c>
      <c r="J1799" s="153"/>
    </row>
    <row r="1800" spans="9:15" ht="12.75">
      <c r="I1800" s="59" t="s">
        <v>3179</v>
      </c>
      <c r="J1800" s="5"/>
      <c r="K1800" s="32"/>
      <c r="M1800" s="5">
        <v>1.49</v>
      </c>
      <c r="O1800" s="88" t="s">
        <v>3180</v>
      </c>
    </row>
    <row r="1801" spans="9:16" ht="12.75">
      <c r="I1801" s="109" t="s">
        <v>1267</v>
      </c>
      <c r="J1801" s="22"/>
      <c r="K1801" s="22"/>
      <c r="L1801" s="23"/>
      <c r="M1801" s="774">
        <v>0.95</v>
      </c>
      <c r="N1801" s="327" t="s">
        <v>2697</v>
      </c>
      <c r="O1801" s="716" t="s">
        <v>2168</v>
      </c>
      <c r="P1801" s="607" t="s">
        <v>638</v>
      </c>
    </row>
    <row r="1802" spans="9:15" ht="12.75">
      <c r="I1802" s="59" t="s">
        <v>1267</v>
      </c>
      <c r="J1802" s="5"/>
      <c r="K1802" s="32"/>
      <c r="M1802" s="5">
        <v>1.19</v>
      </c>
      <c r="O1802" s="716" t="s">
        <v>2168</v>
      </c>
    </row>
    <row r="1803" spans="9:15" ht="12.75">
      <c r="I1803" s="59" t="s">
        <v>1268</v>
      </c>
      <c r="J1803" s="5"/>
      <c r="K1803" s="32"/>
      <c r="M1803" s="5">
        <v>1.19</v>
      </c>
      <c r="O1803" s="448" t="s">
        <v>2455</v>
      </c>
    </row>
    <row r="1804" spans="9:15" ht="12.75">
      <c r="I1804" s="71" t="s">
        <v>1268</v>
      </c>
      <c r="J1804" s="29"/>
      <c r="K1804" s="29"/>
      <c r="L1804" s="30"/>
      <c r="M1804" s="29">
        <v>1.39</v>
      </c>
      <c r="O1804" s="448" t="s">
        <v>18</v>
      </c>
    </row>
    <row r="1805" spans="9:15" ht="12.75">
      <c r="I1805" s="2" t="s">
        <v>1500</v>
      </c>
      <c r="J1805" s="5">
        <v>1.49</v>
      </c>
      <c r="K1805" s="32">
        <f>J1805*0.97</f>
        <v>1.4453</v>
      </c>
      <c r="L1805">
        <v>750</v>
      </c>
      <c r="M1805" s="5">
        <f>K1805/L1805*1000</f>
        <v>1.9270666666666667</v>
      </c>
      <c r="O1805" s="24" t="s">
        <v>2986</v>
      </c>
    </row>
    <row r="1806" spans="9:15" ht="12.75">
      <c r="I1806" s="313" t="s">
        <v>1500</v>
      </c>
      <c r="J1806" s="314">
        <v>1.19</v>
      </c>
      <c r="K1806" s="314">
        <f>J1806*0.97</f>
        <v>1.1542999999999999</v>
      </c>
      <c r="L1806" s="315">
        <v>750</v>
      </c>
      <c r="M1806" s="314">
        <f>K1806/L1806*1000</f>
        <v>1.5390666666666666</v>
      </c>
      <c r="O1806" s="24" t="s">
        <v>149</v>
      </c>
    </row>
    <row r="1807" spans="9:15" ht="12.75">
      <c r="I1807" s="31" t="s">
        <v>94</v>
      </c>
      <c r="J1807" s="5"/>
      <c r="K1807" s="32">
        <v>1.69</v>
      </c>
      <c r="L1807">
        <v>1000</v>
      </c>
      <c r="M1807" s="5">
        <f>K1807/L1807*1000</f>
        <v>1.69</v>
      </c>
      <c r="O1807" s="24" t="s">
        <v>455</v>
      </c>
    </row>
    <row r="1808" spans="9:15" ht="12.75">
      <c r="I1808" s="28" t="s">
        <v>3118</v>
      </c>
      <c r="J1808" s="29">
        <v>1.69</v>
      </c>
      <c r="K1808" s="29">
        <f>J1808*0.97</f>
        <v>1.6393</v>
      </c>
      <c r="L1808" s="30">
        <v>1000</v>
      </c>
      <c r="M1808" s="29">
        <f>K1808/L1808*1000</f>
        <v>1.6393</v>
      </c>
      <c r="O1808" s="24" t="s">
        <v>1804</v>
      </c>
    </row>
    <row r="1809" spans="9:15" ht="12.75">
      <c r="I1809" s="31" t="s">
        <v>3118</v>
      </c>
      <c r="J1809" s="5">
        <v>1.55</v>
      </c>
      <c r="K1809" s="32">
        <f>J1809*0.97</f>
        <v>1.5035</v>
      </c>
      <c r="L1809">
        <v>1000</v>
      </c>
      <c r="M1809" s="5">
        <f>K1809/L1809*1000</f>
        <v>1.5035</v>
      </c>
      <c r="O1809" s="24" t="s">
        <v>2526</v>
      </c>
    </row>
    <row r="1810" spans="9:15" ht="15">
      <c r="I1810" s="31" t="s">
        <v>2631</v>
      </c>
      <c r="J1810" s="5"/>
      <c r="K1810" s="32">
        <v>2.29</v>
      </c>
      <c r="L1810">
        <v>1000</v>
      </c>
      <c r="M1810" s="5">
        <f aca="true" t="shared" si="141" ref="M1810:M1815">K1810/L1810*1000</f>
        <v>2.29</v>
      </c>
      <c r="O1810" s="24" t="s">
        <v>644</v>
      </c>
    </row>
    <row r="1811" spans="9:15" ht="12.75">
      <c r="I1811" s="59" t="s">
        <v>1202</v>
      </c>
      <c r="J1811" s="5"/>
      <c r="K1811" s="32"/>
      <c r="M1811" s="5">
        <v>2.1</v>
      </c>
      <c r="O1811" s="24" t="s">
        <v>1020</v>
      </c>
    </row>
    <row r="1812" spans="9:13" ht="12.75">
      <c r="I1812" s="1" t="s">
        <v>1508</v>
      </c>
      <c r="J1812" s="5">
        <v>2.75</v>
      </c>
      <c r="K1812" s="32">
        <f>J1812*0.97</f>
        <v>2.6675</v>
      </c>
      <c r="L1812">
        <v>750</v>
      </c>
      <c r="M1812" s="5">
        <f t="shared" si="141"/>
        <v>3.5566666666666666</v>
      </c>
    </row>
    <row r="1813" spans="9:13" ht="12.75">
      <c r="I1813" s="1" t="s">
        <v>1339</v>
      </c>
      <c r="J1813" s="5">
        <v>2.85</v>
      </c>
      <c r="K1813" s="32">
        <f>J1813*0.97</f>
        <v>2.7645</v>
      </c>
      <c r="L1813">
        <v>750</v>
      </c>
      <c r="M1813" s="5">
        <f t="shared" si="141"/>
        <v>3.686</v>
      </c>
    </row>
    <row r="1814" spans="9:13" ht="12.75">
      <c r="I1814" s="1" t="s">
        <v>1340</v>
      </c>
      <c r="J1814" s="5">
        <v>1.29</v>
      </c>
      <c r="K1814" s="32">
        <f>J1814*0.97</f>
        <v>1.2513</v>
      </c>
      <c r="L1814">
        <v>750</v>
      </c>
      <c r="M1814" s="5">
        <f t="shared" si="141"/>
        <v>1.6684</v>
      </c>
    </row>
    <row r="1815" spans="9:15" ht="12.75">
      <c r="I1815" s="59" t="s">
        <v>1721</v>
      </c>
      <c r="J1815" s="5"/>
      <c r="K1815" s="32">
        <v>1.19</v>
      </c>
      <c r="L1815">
        <v>1000</v>
      </c>
      <c r="M1815" s="5">
        <f t="shared" si="141"/>
        <v>1.19</v>
      </c>
      <c r="O1815" s="24" t="s">
        <v>1020</v>
      </c>
    </row>
    <row r="1816" spans="10:13" ht="12.75">
      <c r="J1816" s="5"/>
      <c r="K1816" s="32"/>
      <c r="M1816" s="5"/>
    </row>
    <row r="1817" spans="9:13" ht="14.25" customHeight="1">
      <c r="I1817" s="178" t="s">
        <v>353</v>
      </c>
      <c r="M1817" s="5"/>
    </row>
    <row r="1818" spans="8:15" ht="12.75">
      <c r="H1818" s="1213"/>
      <c r="I1818" s="15" t="s">
        <v>991</v>
      </c>
      <c r="J1818" s="16"/>
      <c r="K1818" s="16">
        <v>11.04</v>
      </c>
      <c r="L1818" s="7">
        <v>1200</v>
      </c>
      <c r="M1818" s="348">
        <f>K1818/L1818*1000</f>
        <v>9.2</v>
      </c>
      <c r="O1818" s="24" t="s">
        <v>990</v>
      </c>
    </row>
    <row r="1819" spans="8:15" ht="12.75">
      <c r="H1819" s="1213"/>
      <c r="I1819" s="15" t="s">
        <v>2478</v>
      </c>
      <c r="J1819" s="16"/>
      <c r="K1819" s="16">
        <v>5.53</v>
      </c>
      <c r="L1819" s="7">
        <v>600</v>
      </c>
      <c r="M1819" s="348">
        <f>K1819/L1819*1000</f>
        <v>9.216666666666667</v>
      </c>
      <c r="O1819" s="24" t="s">
        <v>2177</v>
      </c>
    </row>
    <row r="1820" spans="8:15" ht="12.75">
      <c r="H1820" s="1213"/>
      <c r="I1820" s="15" t="s">
        <v>174</v>
      </c>
      <c r="J1820" s="16"/>
      <c r="K1820" s="16">
        <v>1.6</v>
      </c>
      <c r="L1820" s="7">
        <v>200</v>
      </c>
      <c r="M1820" s="348">
        <f aca="true" t="shared" si="142" ref="M1820:M1831">K1820/L1820*1000</f>
        <v>8</v>
      </c>
      <c r="O1820" s="24" t="s">
        <v>175</v>
      </c>
    </row>
    <row r="1821" spans="8:15" ht="12.75">
      <c r="H1821" s="1213"/>
      <c r="I1821" s="2" t="s">
        <v>2479</v>
      </c>
      <c r="J1821" s="5"/>
      <c r="K1821" s="32">
        <v>9.2</v>
      </c>
      <c r="L1821">
        <v>1200</v>
      </c>
      <c r="M1821" s="58">
        <f>K1821/L1821*1000</f>
        <v>7.666666666666666</v>
      </c>
      <c r="O1821" s="24" t="s">
        <v>1400</v>
      </c>
    </row>
    <row r="1822" spans="8:15" ht="12.75">
      <c r="H1822" s="1213"/>
      <c r="I1822" s="2" t="s">
        <v>1425</v>
      </c>
      <c r="J1822" s="5"/>
      <c r="K1822" s="32">
        <v>3.39</v>
      </c>
      <c r="L1822">
        <v>200</v>
      </c>
      <c r="M1822" s="5">
        <f>K1822/L1822*1000</f>
        <v>16.95</v>
      </c>
      <c r="O1822" s="24" t="s">
        <v>1424</v>
      </c>
    </row>
    <row r="1823" spans="8:15" ht="12.75">
      <c r="H1823" s="1213"/>
      <c r="I1823" s="2" t="s">
        <v>2772</v>
      </c>
      <c r="J1823" s="5"/>
      <c r="K1823" s="32">
        <v>2.89</v>
      </c>
      <c r="L1823">
        <v>200</v>
      </c>
      <c r="M1823" s="5">
        <f t="shared" si="142"/>
        <v>14.450000000000001</v>
      </c>
      <c r="O1823" s="24" t="s">
        <v>3013</v>
      </c>
    </row>
    <row r="1824" spans="2:15" ht="12.75">
      <c r="B1824" s="195" t="s">
        <v>560</v>
      </c>
      <c r="H1824" s="1213"/>
      <c r="I1824" s="2" t="s">
        <v>2773</v>
      </c>
      <c r="J1824" s="5"/>
      <c r="K1824" s="32">
        <v>2.89</v>
      </c>
      <c r="L1824">
        <v>300</v>
      </c>
      <c r="M1824" s="5">
        <f t="shared" si="142"/>
        <v>9.633333333333335</v>
      </c>
      <c r="O1824" s="24" t="s">
        <v>3013</v>
      </c>
    </row>
    <row r="1825" spans="2:15" ht="12.75">
      <c r="B1825" s="195">
        <v>6</v>
      </c>
      <c r="C1825" s="195">
        <v>1.9</v>
      </c>
      <c r="D1825" s="195">
        <v>6.9</v>
      </c>
      <c r="F1825" s="198">
        <v>426</v>
      </c>
      <c r="G1825" s="195">
        <f>B1825/F1825*1000</f>
        <v>14.084507042253522</v>
      </c>
      <c r="H1825" s="1213">
        <f>M1825/F1825*100000</f>
        <v>2339.593114241002</v>
      </c>
      <c r="I1825" s="2" t="s">
        <v>1259</v>
      </c>
      <c r="J1825" s="5"/>
      <c r="K1825" s="32">
        <v>2.99</v>
      </c>
      <c r="L1825">
        <v>300</v>
      </c>
      <c r="M1825" s="5">
        <f t="shared" si="142"/>
        <v>9.966666666666667</v>
      </c>
      <c r="O1825" s="24" t="s">
        <v>2402</v>
      </c>
    </row>
    <row r="1826" spans="2:15" ht="12.75">
      <c r="B1826" s="195">
        <v>6</v>
      </c>
      <c r="C1826" s="195">
        <v>1.9</v>
      </c>
      <c r="D1826" s="195">
        <v>6.9</v>
      </c>
      <c r="F1826" s="198">
        <v>426</v>
      </c>
      <c r="G1826" s="195">
        <f>B1826/F1826*1000</f>
        <v>14.084507042253522</v>
      </c>
      <c r="H1826" s="1213">
        <f>M1826/F1826*100000</f>
        <v>2335.6807511737093</v>
      </c>
      <c r="I1826" s="2" t="s">
        <v>952</v>
      </c>
      <c r="J1826" s="5"/>
      <c r="K1826" s="32">
        <v>1.99</v>
      </c>
      <c r="L1826">
        <v>200</v>
      </c>
      <c r="M1826" s="5">
        <f t="shared" si="142"/>
        <v>9.950000000000001</v>
      </c>
      <c r="O1826" s="24" t="s">
        <v>2402</v>
      </c>
    </row>
    <row r="1827" spans="2:15" ht="14.25" customHeight="1">
      <c r="B1827" s="195">
        <v>4.9</v>
      </c>
      <c r="C1827" s="195">
        <v>11</v>
      </c>
      <c r="D1827" s="195">
        <v>5.5</v>
      </c>
      <c r="F1827" s="198">
        <v>497</v>
      </c>
      <c r="G1827" s="195">
        <f>B1827/F1827*1000</f>
        <v>9.859154929577466</v>
      </c>
      <c r="H1827" s="1213">
        <f>M1827/F1827*100000</f>
        <v>481.67794646667886</v>
      </c>
      <c r="I1827" s="277" t="s">
        <v>2135</v>
      </c>
      <c r="J1827" s="152"/>
      <c r="K1827" s="1170">
        <v>0.79</v>
      </c>
      <c r="L1827" s="1171">
        <v>330</v>
      </c>
      <c r="M1827" s="1170">
        <f t="shared" si="142"/>
        <v>2.393939393939394</v>
      </c>
      <c r="O1827" s="24" t="s">
        <v>637</v>
      </c>
    </row>
    <row r="1828" spans="2:15" ht="14.25" customHeight="1">
      <c r="B1828" s="195">
        <v>4.9</v>
      </c>
      <c r="C1828" s="195">
        <v>11</v>
      </c>
      <c r="D1828" s="195">
        <v>5.5</v>
      </c>
      <c r="F1828" s="198">
        <v>497</v>
      </c>
      <c r="G1828" s="195">
        <f>B1828/F1828*1000</f>
        <v>9.859154929577466</v>
      </c>
      <c r="H1828" s="1213">
        <f>M1828/F1828*100000</f>
        <v>451.1920004877751</v>
      </c>
      <c r="I1828" s="109" t="s">
        <v>2135</v>
      </c>
      <c r="J1828" s="924"/>
      <c r="K1828" s="774">
        <v>0.74</v>
      </c>
      <c r="L1828" s="922">
        <v>330</v>
      </c>
      <c r="M1828" s="774">
        <f t="shared" si="142"/>
        <v>2.242424242424242</v>
      </c>
      <c r="O1828" s="24" t="s">
        <v>269</v>
      </c>
    </row>
    <row r="1829" spans="9:15" ht="14.25" customHeight="1">
      <c r="I1829" s="71" t="s">
        <v>2684</v>
      </c>
      <c r="J1829" s="158">
        <v>3.39</v>
      </c>
      <c r="K1829" s="29">
        <f>J1829*0.9</f>
        <v>3.051</v>
      </c>
      <c r="L1829" s="30">
        <v>250</v>
      </c>
      <c r="M1829" s="29">
        <f t="shared" si="142"/>
        <v>12.204</v>
      </c>
      <c r="N1829" s="132" t="s">
        <v>1398</v>
      </c>
      <c r="O1829" s="24" t="s">
        <v>2071</v>
      </c>
    </row>
    <row r="1830" spans="9:15" ht="14.25" customHeight="1">
      <c r="I1830" s="71" t="s">
        <v>2684</v>
      </c>
      <c r="J1830" s="158">
        <v>3.39</v>
      </c>
      <c r="K1830" s="29">
        <f>J1830*0.97</f>
        <v>3.2883</v>
      </c>
      <c r="L1830" s="30">
        <v>250</v>
      </c>
      <c r="M1830" s="29">
        <f t="shared" si="142"/>
        <v>13.1532</v>
      </c>
      <c r="N1830" s="30"/>
      <c r="O1830" s="775" t="s">
        <v>3032</v>
      </c>
    </row>
    <row r="1831" spans="9:15" ht="14.25" customHeight="1">
      <c r="I1831" s="71" t="s">
        <v>2684</v>
      </c>
      <c r="J1831" s="158">
        <v>3.19</v>
      </c>
      <c r="K1831" s="29">
        <f>J1831*0.8</f>
        <v>2.552</v>
      </c>
      <c r="L1831" s="30">
        <v>250</v>
      </c>
      <c r="M1831" s="29">
        <f t="shared" si="142"/>
        <v>10.208</v>
      </c>
      <c r="N1831" s="132" t="s">
        <v>2697</v>
      </c>
      <c r="O1831" s="24" t="s">
        <v>2164</v>
      </c>
    </row>
    <row r="1832" spans="9:15" ht="14.25" customHeight="1">
      <c r="I1832" s="71" t="s">
        <v>2684</v>
      </c>
      <c r="J1832" s="158">
        <v>3.19</v>
      </c>
      <c r="K1832" s="29">
        <f>J1832*0.97</f>
        <v>3.0943</v>
      </c>
      <c r="L1832" s="30">
        <v>250</v>
      </c>
      <c r="M1832" s="29">
        <f aca="true" t="shared" si="143" ref="M1832:M1841">K1832/L1832*1000</f>
        <v>12.3772</v>
      </c>
      <c r="N1832" s="30"/>
      <c r="O1832" s="24" t="s">
        <v>2164</v>
      </c>
    </row>
    <row r="1833" spans="9:15" ht="14.25" customHeight="1">
      <c r="I1833" s="71" t="s">
        <v>2611</v>
      </c>
      <c r="J1833" s="96">
        <v>2.79</v>
      </c>
      <c r="K1833" s="29">
        <f>J1833*0.97</f>
        <v>2.7063</v>
      </c>
      <c r="L1833" s="30">
        <v>250</v>
      </c>
      <c r="M1833" s="29">
        <f t="shared" si="143"/>
        <v>10.8252</v>
      </c>
      <c r="N1833" s="30"/>
      <c r="O1833" s="24" t="s">
        <v>2120</v>
      </c>
    </row>
    <row r="1834" spans="9:15" ht="14.25" customHeight="1">
      <c r="I1834" s="71" t="s">
        <v>632</v>
      </c>
      <c r="J1834" s="158">
        <v>46.4</v>
      </c>
      <c r="K1834" s="29">
        <f>J1834*0.97</f>
        <v>45.007999999999996</v>
      </c>
      <c r="L1834" s="30">
        <v>5000</v>
      </c>
      <c r="M1834" s="29">
        <f>K1834/L1834*1000</f>
        <v>9.001599999999998</v>
      </c>
      <c r="N1834" s="30"/>
      <c r="O1834" s="24" t="s">
        <v>2127</v>
      </c>
    </row>
    <row r="1835" spans="9:15" ht="14.25" customHeight="1">
      <c r="I1835" s="71" t="s">
        <v>2611</v>
      </c>
      <c r="J1835" s="96">
        <v>2.11</v>
      </c>
      <c r="K1835" s="29">
        <f>J1835*0.97</f>
        <v>2.0467</v>
      </c>
      <c r="L1835" s="30">
        <v>250</v>
      </c>
      <c r="M1835" s="29">
        <f t="shared" si="143"/>
        <v>8.1868</v>
      </c>
      <c r="N1835" s="30"/>
      <c r="O1835" s="24" t="s">
        <v>1035</v>
      </c>
    </row>
    <row r="1836" spans="9:15" ht="14.25" customHeight="1">
      <c r="I1836" s="71" t="s">
        <v>2096</v>
      </c>
      <c r="J1836" s="96"/>
      <c r="K1836" s="29">
        <v>2.49</v>
      </c>
      <c r="L1836" s="30">
        <v>250</v>
      </c>
      <c r="M1836" s="29">
        <f t="shared" si="143"/>
        <v>9.96</v>
      </c>
      <c r="N1836" s="426"/>
      <c r="O1836" s="24" t="s">
        <v>2802</v>
      </c>
    </row>
    <row r="1837" spans="2:15" ht="14.25" customHeight="1">
      <c r="B1837" s="195">
        <v>4.7</v>
      </c>
      <c r="C1837" s="195">
        <v>5.4</v>
      </c>
      <c r="D1837" s="195">
        <v>5.3</v>
      </c>
      <c r="F1837" s="198">
        <v>382</v>
      </c>
      <c r="G1837" s="195">
        <f>B1837/F1837*1000</f>
        <v>12.303664921465968</v>
      </c>
      <c r="I1837" s="493" t="s">
        <v>1050</v>
      </c>
      <c r="J1837" s="494"/>
      <c r="K1837" s="495">
        <v>2.35</v>
      </c>
      <c r="L1837" s="496">
        <v>250</v>
      </c>
      <c r="M1837" s="495">
        <f t="shared" si="143"/>
        <v>9.4</v>
      </c>
      <c r="O1837" s="24" t="s">
        <v>1035</v>
      </c>
    </row>
    <row r="1838" spans="9:15" ht="14.25" customHeight="1">
      <c r="I1838" s="37" t="s">
        <v>1594</v>
      </c>
      <c r="J1838" s="38"/>
      <c r="K1838" s="25">
        <v>2.99</v>
      </c>
      <c r="L1838" s="26">
        <v>250</v>
      </c>
      <c r="M1838" s="25">
        <f t="shared" si="143"/>
        <v>11.96</v>
      </c>
      <c r="O1838" s="24" t="s">
        <v>1595</v>
      </c>
    </row>
    <row r="1839" spans="2:15" s="10" customFormat="1" ht="14.25" customHeight="1">
      <c r="B1839" s="218"/>
      <c r="C1839" s="218"/>
      <c r="D1839" s="218"/>
      <c r="E1839" s="737"/>
      <c r="F1839" s="219"/>
      <c r="G1839" s="218"/>
      <c r="H1839" s="218"/>
      <c r="I1839" s="255" t="s">
        <v>3119</v>
      </c>
      <c r="J1839" s="256">
        <v>3.29</v>
      </c>
      <c r="K1839" s="257">
        <f>J1839*0.99</f>
        <v>3.2571</v>
      </c>
      <c r="L1839" s="627">
        <v>250</v>
      </c>
      <c r="M1839" s="257">
        <f t="shared" si="143"/>
        <v>13.0284</v>
      </c>
      <c r="O1839" s="723" t="s">
        <v>2120</v>
      </c>
    </row>
    <row r="1840" spans="9:15" ht="14.25" customHeight="1">
      <c r="I1840" s="86" t="s">
        <v>1012</v>
      </c>
      <c r="J1840" s="38"/>
      <c r="K1840" s="490">
        <v>3.59</v>
      </c>
      <c r="L1840" s="26">
        <v>250</v>
      </c>
      <c r="M1840" s="25">
        <f t="shared" si="143"/>
        <v>14.36</v>
      </c>
      <c r="O1840" s="24" t="s">
        <v>1038</v>
      </c>
    </row>
    <row r="1841" spans="2:15" s="10" customFormat="1" ht="14.25" customHeight="1">
      <c r="B1841" s="218"/>
      <c r="C1841" s="218"/>
      <c r="D1841" s="218"/>
      <c r="E1841" s="737"/>
      <c r="F1841" s="219"/>
      <c r="G1841" s="218"/>
      <c r="H1841" s="218"/>
      <c r="I1841" s="688" t="s">
        <v>1799</v>
      </c>
      <c r="J1841" s="374">
        <v>2.69</v>
      </c>
      <c r="K1841" s="375">
        <f>J1841*0.97</f>
        <v>2.6092999999999997</v>
      </c>
      <c r="L1841" s="376">
        <v>250</v>
      </c>
      <c r="M1841" s="375">
        <f t="shared" si="143"/>
        <v>10.437199999999999</v>
      </c>
      <c r="O1841" s="224" t="s">
        <v>1796</v>
      </c>
    </row>
    <row r="1842" spans="9:13" ht="14.25" customHeight="1">
      <c r="I1842" s="71"/>
      <c r="J1842" s="96"/>
      <c r="K1842" s="29"/>
      <c r="L1842" s="30"/>
      <c r="M1842" s="29"/>
    </row>
    <row r="1843" ht="12.75">
      <c r="M1843" s="5"/>
    </row>
    <row r="1844" spans="9:13" ht="15.75">
      <c r="I1844" s="91" t="s">
        <v>343</v>
      </c>
      <c r="M1844" s="5"/>
    </row>
    <row r="1845" spans="9:15" ht="12.75">
      <c r="I1845" s="37" t="s">
        <v>346</v>
      </c>
      <c r="J1845" s="4">
        <v>12.49</v>
      </c>
      <c r="K1845" s="5">
        <f>J1845*0.99</f>
        <v>12.3651</v>
      </c>
      <c r="L1845">
        <v>500</v>
      </c>
      <c r="M1845" s="5">
        <f>K1845/L1845*1000</f>
        <v>24.7302</v>
      </c>
      <c r="N1845" s="381"/>
      <c r="O1845" s="716" t="s">
        <v>10</v>
      </c>
    </row>
    <row r="1846" spans="9:15" ht="12.75">
      <c r="I1846" s="2" t="s">
        <v>2025</v>
      </c>
      <c r="K1846" s="5">
        <v>11.99</v>
      </c>
      <c r="L1846">
        <v>500</v>
      </c>
      <c r="M1846" s="5">
        <f aca="true" t="shared" si="144" ref="M1846:M1853">K1846/L1846*1000</f>
        <v>23.98</v>
      </c>
      <c r="N1846" s="381"/>
      <c r="O1846" s="716" t="s">
        <v>689</v>
      </c>
    </row>
    <row r="1847" spans="9:15" ht="12.75">
      <c r="I1847" s="43" t="s">
        <v>2025</v>
      </c>
      <c r="K1847" s="44">
        <v>7.29</v>
      </c>
      <c r="L1847" s="45">
        <v>250</v>
      </c>
      <c r="M1847" s="5">
        <f t="shared" si="144"/>
        <v>29.16</v>
      </c>
      <c r="N1847" s="381"/>
      <c r="O1847" s="24" t="s">
        <v>2802</v>
      </c>
    </row>
    <row r="1848" spans="9:15" ht="12.75">
      <c r="I1848" s="28" t="s">
        <v>2025</v>
      </c>
      <c r="J1848" s="96"/>
      <c r="K1848" s="29">
        <v>10.19</v>
      </c>
      <c r="L1848" s="30">
        <v>500</v>
      </c>
      <c r="M1848" s="29">
        <f t="shared" si="144"/>
        <v>20.38</v>
      </c>
      <c r="N1848" s="381"/>
      <c r="O1848" s="24" t="s">
        <v>3106</v>
      </c>
    </row>
    <row r="1849" spans="9:15" ht="12.75">
      <c r="I1849" s="31" t="s">
        <v>2387</v>
      </c>
      <c r="J1849" s="66"/>
      <c r="K1849" s="32">
        <v>11.99</v>
      </c>
      <c r="L1849" s="33">
        <v>500</v>
      </c>
      <c r="M1849" s="32">
        <f t="shared" si="144"/>
        <v>23.98</v>
      </c>
      <c r="N1849" s="381" t="s">
        <v>1559</v>
      </c>
      <c r="O1849" s="24" t="s">
        <v>2802</v>
      </c>
    </row>
    <row r="1850" spans="2:15" ht="15">
      <c r="B1850" s="195">
        <v>15</v>
      </c>
      <c r="C1850" s="195">
        <v>9</v>
      </c>
      <c r="D1850" s="195">
        <v>64</v>
      </c>
      <c r="F1850" s="198">
        <v>2768</v>
      </c>
      <c r="G1850" s="195">
        <f>B1850/F1850*1000</f>
        <v>5.41907514450867</v>
      </c>
      <c r="I1850" s="28" t="s">
        <v>1225</v>
      </c>
      <c r="J1850" s="96"/>
      <c r="K1850" s="29">
        <v>7.29</v>
      </c>
      <c r="L1850" s="30">
        <v>250</v>
      </c>
      <c r="M1850" s="29">
        <f t="shared" si="144"/>
        <v>29.16</v>
      </c>
      <c r="O1850" s="24" t="s">
        <v>2802</v>
      </c>
    </row>
    <row r="1851" spans="2:15" ht="15">
      <c r="B1851" s="195">
        <v>15</v>
      </c>
      <c r="C1851" s="195">
        <v>9</v>
      </c>
      <c r="D1851" s="195">
        <v>64</v>
      </c>
      <c r="F1851" s="198">
        <v>2768</v>
      </c>
      <c r="G1851" s="195">
        <f>B1851/F1851*1000</f>
        <v>5.41907514450867</v>
      </c>
      <c r="I1851" s="28" t="s">
        <v>1225</v>
      </c>
      <c r="J1851" s="96"/>
      <c r="K1851" s="29">
        <v>6.19</v>
      </c>
      <c r="L1851" s="30">
        <v>250</v>
      </c>
      <c r="M1851" s="29">
        <f t="shared" si="144"/>
        <v>24.76</v>
      </c>
      <c r="O1851" s="24" t="s">
        <v>12</v>
      </c>
    </row>
    <row r="1852" spans="2:15" ht="15">
      <c r="B1852" s="195">
        <v>15</v>
      </c>
      <c r="C1852" s="195">
        <v>9</v>
      </c>
      <c r="D1852" s="195">
        <v>64</v>
      </c>
      <c r="F1852" s="198">
        <v>2768</v>
      </c>
      <c r="G1852" s="195">
        <f>B1852/F1852*1000</f>
        <v>5.41907514450867</v>
      </c>
      <c r="I1852" s="28" t="s">
        <v>1224</v>
      </c>
      <c r="J1852" s="96"/>
      <c r="K1852" s="29">
        <v>6.99</v>
      </c>
      <c r="L1852" s="30">
        <v>250</v>
      </c>
      <c r="M1852" s="29">
        <f t="shared" si="144"/>
        <v>27.96</v>
      </c>
      <c r="N1852" s="108"/>
      <c r="O1852" s="24" t="s">
        <v>2731</v>
      </c>
    </row>
    <row r="1853" spans="2:15" ht="15">
      <c r="B1853" s="195">
        <v>15</v>
      </c>
      <c r="C1853" s="195">
        <v>9</v>
      </c>
      <c r="D1853" s="195">
        <v>64</v>
      </c>
      <c r="F1853" s="198">
        <v>2768</v>
      </c>
      <c r="G1853" s="195">
        <f>B1853/F1853*1000</f>
        <v>5.41907514450867</v>
      </c>
      <c r="I1853" s="28" t="s">
        <v>2034</v>
      </c>
      <c r="J1853" s="96">
        <v>6.99</v>
      </c>
      <c r="K1853" s="29">
        <f>J1853*0.97</f>
        <v>6.7803</v>
      </c>
      <c r="L1853" s="30">
        <v>250</v>
      </c>
      <c r="M1853" s="29">
        <f t="shared" si="144"/>
        <v>27.1212</v>
      </c>
      <c r="O1853" s="24" t="s">
        <v>2353</v>
      </c>
    </row>
    <row r="1854" spans="9:13" ht="12.75">
      <c r="I1854" s="2"/>
      <c r="M1854" s="5"/>
    </row>
    <row r="1855" spans="9:13" ht="12.75">
      <c r="I1855" s="43"/>
      <c r="J1855" s="46"/>
      <c r="K1855" s="44"/>
      <c r="L1855" s="45"/>
      <c r="M1855" s="44"/>
    </row>
    <row r="1856" spans="9:10" ht="15.75">
      <c r="I1856" s="52" t="s">
        <v>1509</v>
      </c>
      <c r="J1856" s="151"/>
    </row>
    <row r="1857" spans="9:13" ht="12.75">
      <c r="I1857" s="1" t="s">
        <v>486</v>
      </c>
      <c r="J1857" s="4">
        <v>10.53</v>
      </c>
      <c r="K1857" s="32">
        <f>J1857*0.97</f>
        <v>10.214099999999998</v>
      </c>
      <c r="L1857">
        <v>500</v>
      </c>
      <c r="M1857" s="5">
        <f>K1857/L1857*1000</f>
        <v>20.428199999999997</v>
      </c>
    </row>
    <row r="1858" spans="9:15" ht="12.75">
      <c r="I1858" s="1" t="s">
        <v>2010</v>
      </c>
      <c r="J1858" s="4">
        <v>11.89</v>
      </c>
      <c r="K1858" s="32">
        <f>J1858*0.97</f>
        <v>11.5333</v>
      </c>
      <c r="L1858">
        <v>500</v>
      </c>
      <c r="M1858" s="5">
        <f>K1858/L1858*1000</f>
        <v>23.0666</v>
      </c>
      <c r="O1858" s="24" t="s">
        <v>1035</v>
      </c>
    </row>
    <row r="1859" spans="9:13" ht="12.75">
      <c r="I1859" s="2" t="s">
        <v>1380</v>
      </c>
      <c r="K1859" s="5">
        <v>9.02</v>
      </c>
      <c r="L1859">
        <v>500</v>
      </c>
      <c r="M1859" s="5">
        <f>K1859/L1859*1000</f>
        <v>18.04</v>
      </c>
    </row>
    <row r="1860" spans="9:13" ht="12.75">
      <c r="I1860" s="2"/>
      <c r="M1860" s="5"/>
    </row>
    <row r="1861" spans="9:15" ht="12.75">
      <c r="I1861" s="37" t="s">
        <v>3036</v>
      </c>
      <c r="J1861" s="38">
        <v>3.95</v>
      </c>
      <c r="K1861" s="25">
        <f>J1861*0.97</f>
        <v>3.8315</v>
      </c>
      <c r="L1861" s="26">
        <v>200</v>
      </c>
      <c r="M1861" s="25">
        <f>K1861/L1861*1000</f>
        <v>19.157500000000002</v>
      </c>
      <c r="O1861" s="24" t="s">
        <v>2695</v>
      </c>
    </row>
    <row r="1862" spans="9:15" ht="12.75">
      <c r="I1862" s="43" t="s">
        <v>3036</v>
      </c>
      <c r="J1862" s="46">
        <v>6.45</v>
      </c>
      <c r="K1862" s="44">
        <f>J1862*0.97</f>
        <v>6.2565</v>
      </c>
      <c r="L1862" s="45">
        <v>330</v>
      </c>
      <c r="M1862" s="44">
        <f>K1862/L1862*1000</f>
        <v>18.959090909090907</v>
      </c>
      <c r="O1862" s="24" t="s">
        <v>2736</v>
      </c>
    </row>
    <row r="1863" spans="9:15" ht="12.75">
      <c r="I1863" s="2" t="s">
        <v>2115</v>
      </c>
      <c r="K1863" s="5">
        <v>2.99</v>
      </c>
      <c r="L1863">
        <v>200</v>
      </c>
      <c r="M1863" s="5">
        <f>K1863/L1863*1000</f>
        <v>14.950000000000001</v>
      </c>
      <c r="O1863" s="24" t="s">
        <v>1439</v>
      </c>
    </row>
    <row r="1864" ht="12.75"/>
    <row r="1865" spans="9:14" ht="12.75">
      <c r="I1865" s="17"/>
      <c r="J1865" s="18"/>
      <c r="K1865" s="18"/>
      <c r="L1865" s="19"/>
      <c r="M1865" s="18"/>
      <c r="N1865" s="19"/>
    </row>
    <row r="1866" spans="9:14" ht="15.75">
      <c r="I1866" s="178" t="s">
        <v>1252</v>
      </c>
      <c r="J1866" s="18"/>
      <c r="K1866" s="18"/>
      <c r="M1866" s="18"/>
      <c r="N1866" s="19"/>
    </row>
    <row r="1867" spans="9:15" ht="14.25">
      <c r="I1867" s="97" t="s">
        <v>2195</v>
      </c>
      <c r="K1867" s="41">
        <v>2.19</v>
      </c>
      <c r="L1867" s="42">
        <v>450</v>
      </c>
      <c r="M1867" s="41">
        <f>K1867/L1867*1000</f>
        <v>4.866666666666667</v>
      </c>
      <c r="N1867" s="19"/>
      <c r="O1867" s="24" t="s">
        <v>62</v>
      </c>
    </row>
    <row r="1868" spans="9:15" ht="14.25">
      <c r="I1868" s="97" t="s">
        <v>1485</v>
      </c>
      <c r="K1868" s="41">
        <v>2.19</v>
      </c>
      <c r="L1868" s="42">
        <v>450</v>
      </c>
      <c r="M1868" s="41">
        <f aca="true" t="shared" si="145" ref="M1868:M1878">K1868/L1868*1000</f>
        <v>4.866666666666667</v>
      </c>
      <c r="N1868" s="19"/>
      <c r="O1868" s="24" t="s">
        <v>1480</v>
      </c>
    </row>
    <row r="1869" spans="9:15" ht="12.75">
      <c r="I1869" s="109" t="s">
        <v>2826</v>
      </c>
      <c r="J1869" s="774"/>
      <c r="K1869" s="22">
        <v>2.19</v>
      </c>
      <c r="L1869" s="23">
        <v>750</v>
      </c>
      <c r="M1869" s="22">
        <f>K1869/L1869*1000</f>
        <v>2.92</v>
      </c>
      <c r="N1869" s="492"/>
      <c r="O1869" s="716" t="s">
        <v>1607</v>
      </c>
    </row>
    <row r="1870" spans="9:15" ht="12.75">
      <c r="I1870" s="60" t="s">
        <v>2826</v>
      </c>
      <c r="J1870" s="103"/>
      <c r="K1870" s="62">
        <v>1.69</v>
      </c>
      <c r="L1870" s="63">
        <v>450</v>
      </c>
      <c r="M1870" s="32">
        <f t="shared" si="145"/>
        <v>3.7555555555555555</v>
      </c>
      <c r="N1870" s="492"/>
      <c r="O1870" s="448" t="s">
        <v>1607</v>
      </c>
    </row>
    <row r="1871" spans="9:15" ht="12.75">
      <c r="I1871" s="71" t="s">
        <v>2827</v>
      </c>
      <c r="J1871" s="116">
        <v>1.69</v>
      </c>
      <c r="K1871" s="29">
        <v>1.69</v>
      </c>
      <c r="L1871" s="30">
        <v>450</v>
      </c>
      <c r="M1871" s="29">
        <f t="shared" si="145"/>
        <v>3.7555555555555555</v>
      </c>
      <c r="N1871" s="19"/>
      <c r="O1871" s="24" t="s">
        <v>161</v>
      </c>
    </row>
    <row r="1872" spans="9:15" ht="12.75">
      <c r="I1872" s="28" t="s">
        <v>2828</v>
      </c>
      <c r="J1872" s="29">
        <v>1.49</v>
      </c>
      <c r="K1872" s="29">
        <f>J1872*0.99</f>
        <v>1.4751</v>
      </c>
      <c r="L1872" s="30">
        <v>450</v>
      </c>
      <c r="M1872" s="29">
        <f t="shared" si="145"/>
        <v>3.278</v>
      </c>
      <c r="N1872" s="19"/>
      <c r="O1872" s="24" t="s">
        <v>2120</v>
      </c>
    </row>
    <row r="1873" spans="9:15" ht="12.75">
      <c r="I1873" s="40" t="s">
        <v>2706</v>
      </c>
      <c r="J1873" s="41"/>
      <c r="K1873" s="41">
        <v>1.69</v>
      </c>
      <c r="L1873" s="42">
        <v>450</v>
      </c>
      <c r="M1873" s="41">
        <f t="shared" si="145"/>
        <v>3.7555555555555555</v>
      </c>
      <c r="N1873" s="254"/>
      <c r="O1873" s="24" t="s">
        <v>1431</v>
      </c>
    </row>
    <row r="1874" spans="9:15" ht="12.75">
      <c r="I1874" s="28" t="s">
        <v>2706</v>
      </c>
      <c r="J1874" s="29"/>
      <c r="K1874" s="29">
        <v>1.39</v>
      </c>
      <c r="L1874" s="30">
        <v>450</v>
      </c>
      <c r="M1874" s="29">
        <f t="shared" si="145"/>
        <v>3.088888888888889</v>
      </c>
      <c r="N1874" s="254"/>
      <c r="O1874" s="784" t="s">
        <v>1494</v>
      </c>
    </row>
    <row r="1875" spans="9:15" ht="12.75">
      <c r="I1875" s="43" t="s">
        <v>1529</v>
      </c>
      <c r="J1875" s="44"/>
      <c r="K1875" s="44">
        <f>K1876*0.75</f>
        <v>1.4925</v>
      </c>
      <c r="L1875" s="45">
        <v>400</v>
      </c>
      <c r="M1875" s="44">
        <f t="shared" si="145"/>
        <v>3.7312499999999997</v>
      </c>
      <c r="N1875" s="254" t="s">
        <v>2698</v>
      </c>
      <c r="O1875" s="716" t="s">
        <v>2434</v>
      </c>
    </row>
    <row r="1876" spans="9:15" ht="12.75">
      <c r="I1876" s="37" t="s">
        <v>2238</v>
      </c>
      <c r="J1876" s="25"/>
      <c r="K1876" s="25">
        <v>1.99</v>
      </c>
      <c r="L1876" s="26">
        <v>400</v>
      </c>
      <c r="M1876" s="25">
        <f>K1876/L1876*1000</f>
        <v>4.9750000000000005</v>
      </c>
      <c r="N1876" s="19"/>
      <c r="O1876" s="716" t="s">
        <v>2434</v>
      </c>
    </row>
    <row r="1877" spans="9:15" ht="12.75">
      <c r="I1877" s="37" t="s">
        <v>2238</v>
      </c>
      <c r="J1877" s="25"/>
      <c r="K1877" s="25">
        <v>2.19</v>
      </c>
      <c r="L1877" s="26">
        <v>400</v>
      </c>
      <c r="M1877" s="25">
        <f t="shared" si="145"/>
        <v>5.475</v>
      </c>
      <c r="N1877" s="19"/>
      <c r="O1877" s="24" t="s">
        <v>689</v>
      </c>
    </row>
    <row r="1878" spans="2:15" ht="12.75">
      <c r="B1878" s="195">
        <v>3.1</v>
      </c>
      <c r="C1878" s="195">
        <v>0.5</v>
      </c>
      <c r="D1878" s="195">
        <v>0.8</v>
      </c>
      <c r="F1878" s="198">
        <v>108</v>
      </c>
      <c r="G1878" s="195">
        <f>B1878/F1878*1000</f>
        <v>28.703703703703702</v>
      </c>
      <c r="I1878" s="67" t="s">
        <v>1824</v>
      </c>
      <c r="J1878" s="68"/>
      <c r="K1878" s="68">
        <v>1.49</v>
      </c>
      <c r="L1878" s="69">
        <v>450</v>
      </c>
      <c r="M1878" s="68">
        <f t="shared" si="145"/>
        <v>3.311111111111111</v>
      </c>
      <c r="N1878" s="19"/>
      <c r="O1878" s="24" t="s">
        <v>942</v>
      </c>
    </row>
    <row r="1879" spans="9:14" ht="12.75">
      <c r="I1879" s="6"/>
      <c r="J1879" s="16"/>
      <c r="K1879" s="16"/>
      <c r="L1879" s="7"/>
      <c r="M1879" s="16"/>
      <c r="N1879" s="19"/>
    </row>
    <row r="1880" spans="9:14" ht="12.75">
      <c r="I1880" s="6"/>
      <c r="J1880" s="16"/>
      <c r="K1880" s="16"/>
      <c r="L1880" s="7"/>
      <c r="M1880" s="16"/>
      <c r="N1880" s="19"/>
    </row>
    <row r="1881" spans="9:14" ht="15.75">
      <c r="I1881" s="178" t="s">
        <v>955</v>
      </c>
      <c r="J1881" s="16"/>
      <c r="K1881" s="16"/>
      <c r="L1881" s="7"/>
      <c r="M1881" s="16"/>
      <c r="N1881" s="19"/>
    </row>
    <row r="1882" spans="9:15" ht="12.75">
      <c r="I1882" s="6" t="s">
        <v>957</v>
      </c>
      <c r="J1882" s="16"/>
      <c r="K1882" s="16"/>
      <c r="L1882" s="7"/>
      <c r="M1882" s="16">
        <v>21.77</v>
      </c>
      <c r="N1882" s="19"/>
      <c r="O1882" s="24" t="s">
        <v>1400</v>
      </c>
    </row>
    <row r="1883" spans="9:15" ht="12.75">
      <c r="I1883" s="37" t="s">
        <v>2551</v>
      </c>
      <c r="J1883" s="16"/>
      <c r="K1883" s="16">
        <v>0.95</v>
      </c>
      <c r="L1883" s="7">
        <v>12.5</v>
      </c>
      <c r="M1883" s="348">
        <f>K1883/L1883*1000</f>
        <v>76</v>
      </c>
      <c r="N1883" s="19"/>
      <c r="O1883" s="716" t="s">
        <v>956</v>
      </c>
    </row>
    <row r="1884" spans="9:14" ht="12.75">
      <c r="I1884" s="6"/>
      <c r="J1884" s="16"/>
      <c r="K1884" s="16"/>
      <c r="L1884" s="7"/>
      <c r="M1884" s="16"/>
      <c r="N1884" s="19"/>
    </row>
    <row r="1885" spans="9:14" ht="12.75">
      <c r="I1885" s="6"/>
      <c r="J1885" s="16"/>
      <c r="K1885" s="16"/>
      <c r="L1885" s="7"/>
      <c r="M1885" s="16"/>
      <c r="N1885" s="19"/>
    </row>
    <row r="1886" spans="9:14" ht="12.75">
      <c r="I1886" s="6"/>
      <c r="J1886" s="16"/>
      <c r="K1886" s="16"/>
      <c r="L1886" s="7"/>
      <c r="M1886" s="16"/>
      <c r="N1886" s="19"/>
    </row>
    <row r="1887" spans="9:14" ht="15.75">
      <c r="I1887" s="91" t="s">
        <v>994</v>
      </c>
      <c r="J1887" s="18"/>
      <c r="K1887" s="18"/>
      <c r="L1887" s="19"/>
      <c r="M1887" s="18"/>
      <c r="N1887" s="19"/>
    </row>
    <row r="1888" spans="2:15" s="447" customFormat="1" ht="12.75">
      <c r="B1888" s="319"/>
      <c r="C1888" s="319"/>
      <c r="D1888" s="319"/>
      <c r="E1888" s="735"/>
      <c r="F1888" s="483"/>
      <c r="G1888" s="319"/>
      <c r="H1888" s="319"/>
      <c r="I1888" s="109" t="s">
        <v>427</v>
      </c>
      <c r="J1888" s="22"/>
      <c r="K1888" s="22">
        <v>0.79</v>
      </c>
      <c r="L1888" s="23">
        <v>50</v>
      </c>
      <c r="M1888" s="774">
        <f aca="true" t="shared" si="146" ref="M1888:M1893">K1888/L1888*1000</f>
        <v>15.8</v>
      </c>
      <c r="N1888" s="848" t="s">
        <v>1775</v>
      </c>
      <c r="O1888" s="448" t="s">
        <v>637</v>
      </c>
    </row>
    <row r="1889" spans="2:15" s="447" customFormat="1" ht="12.75">
      <c r="B1889" s="319"/>
      <c r="C1889" s="319"/>
      <c r="D1889" s="319"/>
      <c r="E1889" s="735"/>
      <c r="F1889" s="483"/>
      <c r="G1889" s="319"/>
      <c r="H1889" s="319"/>
      <c r="I1889" s="97" t="s">
        <v>427</v>
      </c>
      <c r="J1889" s="41"/>
      <c r="K1889" s="41">
        <v>0.99</v>
      </c>
      <c r="L1889" s="42">
        <v>50</v>
      </c>
      <c r="M1889" s="32">
        <f t="shared" si="146"/>
        <v>19.799999999999997</v>
      </c>
      <c r="O1889" s="716" t="s">
        <v>637</v>
      </c>
    </row>
    <row r="1890" spans="2:15" s="447" customFormat="1" ht="12.75">
      <c r="B1890" s="319"/>
      <c r="C1890" s="319"/>
      <c r="D1890" s="319"/>
      <c r="E1890" s="735"/>
      <c r="F1890" s="483"/>
      <c r="G1890" s="319"/>
      <c r="H1890" s="319"/>
      <c r="I1890" s="109" t="s">
        <v>270</v>
      </c>
      <c r="J1890" s="22"/>
      <c r="K1890" s="22">
        <v>0.79</v>
      </c>
      <c r="L1890" s="23">
        <v>50</v>
      </c>
      <c r="M1890" s="774">
        <f t="shared" si="146"/>
        <v>15.8</v>
      </c>
      <c r="N1890" s="848" t="s">
        <v>1775</v>
      </c>
      <c r="O1890" s="448" t="s">
        <v>637</v>
      </c>
    </row>
    <row r="1891" spans="2:15" s="447" customFormat="1" ht="12.75">
      <c r="B1891" s="319"/>
      <c r="C1891" s="319"/>
      <c r="D1891" s="319"/>
      <c r="E1891" s="735"/>
      <c r="F1891" s="483"/>
      <c r="G1891" s="319"/>
      <c r="H1891" s="319"/>
      <c r="I1891" s="97" t="s">
        <v>270</v>
      </c>
      <c r="J1891" s="41"/>
      <c r="K1891" s="41">
        <v>0.99</v>
      </c>
      <c r="L1891" s="42">
        <v>50</v>
      </c>
      <c r="M1891" s="32">
        <f t="shared" si="146"/>
        <v>19.799999999999997</v>
      </c>
      <c r="O1891" s="448" t="s">
        <v>173</v>
      </c>
    </row>
    <row r="1892" spans="2:15" s="447" customFormat="1" ht="12.75">
      <c r="B1892" s="319"/>
      <c r="C1892" s="319"/>
      <c r="D1892" s="319"/>
      <c r="E1892" s="735"/>
      <c r="F1892" s="483"/>
      <c r="G1892" s="319"/>
      <c r="H1892" s="319"/>
      <c r="I1892" s="109" t="s">
        <v>428</v>
      </c>
      <c r="J1892" s="22"/>
      <c r="K1892" s="22">
        <v>0.79</v>
      </c>
      <c r="L1892" s="23">
        <v>50</v>
      </c>
      <c r="M1892" s="22">
        <f t="shared" si="146"/>
        <v>15.8</v>
      </c>
      <c r="N1892" s="848" t="s">
        <v>1775</v>
      </c>
      <c r="O1892" s="448" t="s">
        <v>2455</v>
      </c>
    </row>
    <row r="1893" spans="2:15" s="447" customFormat="1" ht="12.75">
      <c r="B1893" s="319"/>
      <c r="C1893" s="319"/>
      <c r="D1893" s="319"/>
      <c r="E1893" s="735"/>
      <c r="F1893" s="483"/>
      <c r="G1893" s="319"/>
      <c r="H1893" s="319"/>
      <c r="I1893" s="40" t="s">
        <v>428</v>
      </c>
      <c r="J1893" s="321"/>
      <c r="K1893" s="321">
        <v>0.99</v>
      </c>
      <c r="L1893" s="447">
        <v>50</v>
      </c>
      <c r="M1893" s="32">
        <f t="shared" si="146"/>
        <v>19.799999999999997</v>
      </c>
      <c r="O1893" s="448" t="s">
        <v>2877</v>
      </c>
    </row>
    <row r="1894" spans="2:15" s="447" customFormat="1" ht="12.75">
      <c r="B1894" s="319"/>
      <c r="C1894" s="319"/>
      <c r="D1894" s="319"/>
      <c r="E1894" s="735"/>
      <c r="F1894" s="483"/>
      <c r="G1894" s="319"/>
      <c r="H1894" s="319"/>
      <c r="I1894" s="378" t="s">
        <v>2418</v>
      </c>
      <c r="J1894" s="321"/>
      <c r="K1894" s="348">
        <v>0.89</v>
      </c>
      <c r="L1894" s="349">
        <v>75</v>
      </c>
      <c r="M1894" s="348">
        <f aca="true" t="shared" si="147" ref="M1894:M1902">K1894/L1894*1000</f>
        <v>11.866666666666665</v>
      </c>
      <c r="N1894" s="395"/>
      <c r="O1894" s="448" t="s">
        <v>18</v>
      </c>
    </row>
    <row r="1895" spans="2:15" s="447" customFormat="1" ht="12.75">
      <c r="B1895" s="319"/>
      <c r="C1895" s="319"/>
      <c r="D1895" s="319"/>
      <c r="E1895" s="735"/>
      <c r="F1895" s="483"/>
      <c r="G1895" s="319"/>
      <c r="H1895" s="319"/>
      <c r="I1895" s="378" t="s">
        <v>2417</v>
      </c>
      <c r="J1895" s="321"/>
      <c r="K1895" s="348">
        <v>0.89</v>
      </c>
      <c r="L1895" s="349">
        <v>75</v>
      </c>
      <c r="M1895" s="348">
        <f t="shared" si="147"/>
        <v>11.866666666666665</v>
      </c>
      <c r="N1895" s="395"/>
      <c r="O1895" s="448" t="s">
        <v>2768</v>
      </c>
    </row>
    <row r="1896" spans="2:15" s="447" customFormat="1" ht="12.75">
      <c r="B1896" s="319"/>
      <c r="C1896" s="319"/>
      <c r="D1896" s="319"/>
      <c r="E1896" s="735"/>
      <c r="F1896" s="483"/>
      <c r="G1896" s="319"/>
      <c r="H1896" s="319"/>
      <c r="I1896" s="378" t="s">
        <v>202</v>
      </c>
      <c r="J1896" s="321"/>
      <c r="K1896" s="348">
        <v>0.89</v>
      </c>
      <c r="L1896" s="349">
        <v>75</v>
      </c>
      <c r="M1896" s="348">
        <f>K1896/L1896*1000</f>
        <v>11.866666666666665</v>
      </c>
      <c r="N1896" s="395"/>
      <c r="O1896" s="448" t="s">
        <v>18</v>
      </c>
    </row>
    <row r="1897" spans="2:15" s="447" customFormat="1" ht="12.75">
      <c r="B1897" s="319"/>
      <c r="C1897" s="319"/>
      <c r="D1897" s="319"/>
      <c r="E1897" s="735"/>
      <c r="F1897" s="483"/>
      <c r="G1897" s="319"/>
      <c r="H1897" s="319"/>
      <c r="I1897" s="86" t="s">
        <v>2243</v>
      </c>
      <c r="J1897" s="321"/>
      <c r="K1897" s="400">
        <v>1.19</v>
      </c>
      <c r="L1897" s="454">
        <v>47.58</v>
      </c>
      <c r="M1897" s="490">
        <f t="shared" si="147"/>
        <v>25.010508617065994</v>
      </c>
      <c r="N1897" s="395"/>
      <c r="O1897" s="448" t="s">
        <v>18</v>
      </c>
    </row>
    <row r="1898" spans="2:15" s="447" customFormat="1" ht="12.75">
      <c r="B1898" s="319"/>
      <c r="C1898" s="319"/>
      <c r="D1898" s="319"/>
      <c r="E1898" s="735"/>
      <c r="F1898" s="483"/>
      <c r="G1898" s="319"/>
      <c r="H1898" s="319"/>
      <c r="I1898" s="43" t="s">
        <v>2787</v>
      </c>
      <c r="J1898" s="44"/>
      <c r="K1898" s="44">
        <v>1.49</v>
      </c>
      <c r="L1898" s="42">
        <v>50</v>
      </c>
      <c r="M1898" s="32">
        <f>K1898/L1898*1000</f>
        <v>29.8</v>
      </c>
      <c r="O1898" s="716" t="s">
        <v>18</v>
      </c>
    </row>
    <row r="1899" spans="2:15" s="447" customFormat="1" ht="12.75">
      <c r="B1899" s="319"/>
      <c r="C1899" s="319"/>
      <c r="D1899" s="319"/>
      <c r="E1899" s="735"/>
      <c r="F1899" s="483"/>
      <c r="G1899" s="319"/>
      <c r="H1899" s="319"/>
      <c r="I1899" s="40" t="s">
        <v>2016</v>
      </c>
      <c r="J1899" s="41"/>
      <c r="K1899" s="41">
        <v>1.39</v>
      </c>
      <c r="L1899" s="42">
        <v>50</v>
      </c>
      <c r="M1899" s="32">
        <f>K1899/L1899*1000</f>
        <v>27.799999999999997</v>
      </c>
      <c r="O1899" s="716" t="s">
        <v>18</v>
      </c>
    </row>
    <row r="1900" spans="2:15" s="447" customFormat="1" ht="12.75">
      <c r="B1900" s="319"/>
      <c r="C1900" s="319"/>
      <c r="D1900" s="319"/>
      <c r="E1900" s="735"/>
      <c r="F1900" s="483"/>
      <c r="G1900" s="319"/>
      <c r="H1900" s="319"/>
      <c r="I1900" s="97" t="s">
        <v>1457</v>
      </c>
      <c r="J1900" s="321"/>
      <c r="K1900" s="321">
        <v>1.29</v>
      </c>
      <c r="L1900" s="447">
        <v>50</v>
      </c>
      <c r="M1900" s="32">
        <f t="shared" si="147"/>
        <v>25.8</v>
      </c>
      <c r="O1900" s="448" t="s">
        <v>1458</v>
      </c>
    </row>
    <row r="1901" spans="2:15" s="447" customFormat="1" ht="12.75">
      <c r="B1901" s="319"/>
      <c r="C1901" s="319"/>
      <c r="D1901" s="319"/>
      <c r="E1901" s="735"/>
      <c r="F1901" s="483"/>
      <c r="G1901" s="319"/>
      <c r="H1901" s="319"/>
      <c r="I1901" s="673" t="s">
        <v>1427</v>
      </c>
      <c r="J1901" s="321"/>
      <c r="K1901" s="321">
        <v>1.39</v>
      </c>
      <c r="L1901" s="447">
        <v>50</v>
      </c>
      <c r="M1901" s="32">
        <f t="shared" si="147"/>
        <v>27.799999999999997</v>
      </c>
      <c r="O1901" s="716" t="s">
        <v>1458</v>
      </c>
    </row>
    <row r="1902" spans="2:15" s="447" customFormat="1" ht="12.75">
      <c r="B1902" s="319"/>
      <c r="C1902" s="319"/>
      <c r="D1902" s="319"/>
      <c r="E1902" s="735"/>
      <c r="F1902" s="483"/>
      <c r="G1902" s="319"/>
      <c r="H1902" s="319"/>
      <c r="I1902" s="322" t="s">
        <v>323</v>
      </c>
      <c r="J1902" s="321"/>
      <c r="K1902" s="321">
        <v>1.29</v>
      </c>
      <c r="L1902" s="315">
        <v>50</v>
      </c>
      <c r="M1902" s="314">
        <f t="shared" si="147"/>
        <v>25.8</v>
      </c>
      <c r="O1902" s="716" t="s">
        <v>1458</v>
      </c>
    </row>
    <row r="1903" spans="2:15" s="447" customFormat="1" ht="12.75">
      <c r="B1903" s="319"/>
      <c r="C1903" s="319"/>
      <c r="D1903" s="319"/>
      <c r="E1903" s="735"/>
      <c r="F1903" s="483"/>
      <c r="G1903" s="319"/>
      <c r="H1903" s="319"/>
      <c r="I1903" s="322" t="s">
        <v>1833</v>
      </c>
      <c r="J1903" s="321">
        <v>1.19</v>
      </c>
      <c r="K1903" s="321">
        <f>J1903*0.99</f>
        <v>1.1781</v>
      </c>
      <c r="L1903" s="315">
        <v>50</v>
      </c>
      <c r="M1903" s="314">
        <f aca="true" t="shared" si="148" ref="M1903:M1913">K1903/L1903*1000</f>
        <v>23.562</v>
      </c>
      <c r="O1903" s="448" t="s">
        <v>1145</v>
      </c>
    </row>
    <row r="1904" spans="2:15" s="447" customFormat="1" ht="12.75">
      <c r="B1904" s="319"/>
      <c r="C1904" s="319"/>
      <c r="D1904" s="319"/>
      <c r="E1904" s="735"/>
      <c r="F1904" s="483"/>
      <c r="G1904" s="319"/>
      <c r="H1904" s="319"/>
      <c r="I1904" s="97" t="s">
        <v>2278</v>
      </c>
      <c r="J1904" s="321"/>
      <c r="K1904" s="321">
        <v>0.99</v>
      </c>
      <c r="L1904" s="447">
        <v>50</v>
      </c>
      <c r="M1904" s="32">
        <f>K1904/L1904*1000</f>
        <v>19.799999999999997</v>
      </c>
      <c r="O1904" s="818" t="s">
        <v>1910</v>
      </c>
    </row>
    <row r="1905" spans="2:15" s="447" customFormat="1" ht="12.75">
      <c r="B1905" s="319"/>
      <c r="C1905" s="319"/>
      <c r="D1905" s="319"/>
      <c r="E1905" s="735"/>
      <c r="F1905" s="483"/>
      <c r="G1905" s="319"/>
      <c r="H1905" s="319"/>
      <c r="I1905" s="322" t="s">
        <v>1972</v>
      </c>
      <c r="J1905" s="321">
        <v>1.19</v>
      </c>
      <c r="K1905" s="321">
        <f>J1905*0.99</f>
        <v>1.1781</v>
      </c>
      <c r="L1905" s="447">
        <v>50</v>
      </c>
      <c r="M1905" s="32">
        <f>K1905/L1905*1000</f>
        <v>23.562</v>
      </c>
      <c r="N1905" s="395" t="s">
        <v>2089</v>
      </c>
      <c r="O1905" s="716" t="s">
        <v>2120</v>
      </c>
    </row>
    <row r="1906" spans="2:15" s="447" customFormat="1" ht="12.75">
      <c r="B1906" s="319"/>
      <c r="C1906" s="319"/>
      <c r="D1906" s="319"/>
      <c r="E1906" s="735"/>
      <c r="F1906" s="483"/>
      <c r="G1906" s="319"/>
      <c r="H1906" s="319"/>
      <c r="I1906" s="849" t="s">
        <v>2278</v>
      </c>
      <c r="J1906" s="850"/>
      <c r="K1906" s="850">
        <v>0.99</v>
      </c>
      <c r="L1906" s="851">
        <v>50</v>
      </c>
      <c r="M1906" s="850">
        <f t="shared" si="148"/>
        <v>19.799999999999997</v>
      </c>
      <c r="O1906" s="716" t="s">
        <v>2120</v>
      </c>
    </row>
    <row r="1907" spans="2:15" s="447" customFormat="1" ht="12.75">
      <c r="B1907" s="319"/>
      <c r="C1907" s="319"/>
      <c r="D1907" s="319"/>
      <c r="E1907" s="735"/>
      <c r="F1907" s="483"/>
      <c r="G1907" s="319"/>
      <c r="H1907" s="319"/>
      <c r="I1907" s="277" t="s">
        <v>70</v>
      </c>
      <c r="J1907" s="400"/>
      <c r="K1907" s="400">
        <v>1.29</v>
      </c>
      <c r="L1907" s="395">
        <v>50</v>
      </c>
      <c r="M1907" s="400">
        <f>K1907/L1907*1000</f>
        <v>25.8</v>
      </c>
      <c r="O1907" s="716" t="s">
        <v>2568</v>
      </c>
    </row>
    <row r="1908" spans="2:15" s="447" customFormat="1" ht="12.75">
      <c r="B1908" s="319"/>
      <c r="C1908" s="319"/>
      <c r="D1908" s="319"/>
      <c r="E1908" s="735"/>
      <c r="F1908" s="483"/>
      <c r="G1908" s="319"/>
      <c r="H1908" s="319"/>
      <c r="I1908" s="277" t="s">
        <v>96</v>
      </c>
      <c r="J1908" s="400"/>
      <c r="K1908" s="400">
        <v>1.29</v>
      </c>
      <c r="L1908" s="395">
        <v>50</v>
      </c>
      <c r="M1908" s="400">
        <f t="shared" si="148"/>
        <v>25.8</v>
      </c>
      <c r="O1908" s="716" t="s">
        <v>2320</v>
      </c>
    </row>
    <row r="1909" spans="2:15" s="447" customFormat="1" ht="12.75">
      <c r="B1909" s="319"/>
      <c r="C1909" s="319"/>
      <c r="D1909" s="319"/>
      <c r="E1909" s="735"/>
      <c r="F1909" s="483"/>
      <c r="G1909" s="319"/>
      <c r="H1909" s="319"/>
      <c r="I1909" s="97" t="s">
        <v>1858</v>
      </c>
      <c r="J1909" s="41"/>
      <c r="K1909" s="41">
        <f>K1910*0.9</f>
        <v>0.80325</v>
      </c>
      <c r="L1909" s="42">
        <v>50</v>
      </c>
      <c r="M1909" s="41">
        <f t="shared" si="148"/>
        <v>16.064999999999998</v>
      </c>
      <c r="N1909" s="443" t="s">
        <v>927</v>
      </c>
      <c r="O1909" s="125" t="s">
        <v>354</v>
      </c>
    </row>
    <row r="1910" spans="2:15" s="447" customFormat="1" ht="12.75">
      <c r="B1910" s="319"/>
      <c r="C1910" s="319"/>
      <c r="D1910" s="319"/>
      <c r="E1910" s="735"/>
      <c r="F1910" s="483"/>
      <c r="G1910" s="319"/>
      <c r="H1910" s="319"/>
      <c r="I1910" s="40" t="s">
        <v>1858</v>
      </c>
      <c r="J1910" s="41"/>
      <c r="K1910" s="41">
        <f>K1911*0.75</f>
        <v>0.8925</v>
      </c>
      <c r="L1910" s="42">
        <v>50</v>
      </c>
      <c r="M1910" s="41">
        <f>K1910/L1910*1000</f>
        <v>17.849999999999998</v>
      </c>
      <c r="N1910" s="443" t="s">
        <v>2698</v>
      </c>
      <c r="O1910" s="51" t="s">
        <v>354</v>
      </c>
    </row>
    <row r="1911" spans="2:15" s="447" customFormat="1" ht="12.75">
      <c r="B1911" s="319"/>
      <c r="C1911" s="319"/>
      <c r="D1911" s="319"/>
      <c r="E1911" s="735"/>
      <c r="F1911" s="483"/>
      <c r="G1911" s="319"/>
      <c r="H1911" s="319"/>
      <c r="I1911" s="40" t="s">
        <v>1858</v>
      </c>
      <c r="J1911" s="41"/>
      <c r="K1911" s="41">
        <v>1.19</v>
      </c>
      <c r="L1911" s="42">
        <v>50</v>
      </c>
      <c r="M1911" s="41">
        <f t="shared" si="148"/>
        <v>23.799999999999997</v>
      </c>
      <c r="N1911" s="443"/>
      <c r="O1911" s="51" t="s">
        <v>354</v>
      </c>
    </row>
    <row r="1912" spans="2:15" s="447" customFormat="1" ht="12.75">
      <c r="B1912" s="319"/>
      <c r="C1912" s="319"/>
      <c r="D1912" s="319"/>
      <c r="E1912" s="735"/>
      <c r="F1912" s="483"/>
      <c r="G1912" s="319"/>
      <c r="H1912" s="319"/>
      <c r="I1912" s="40" t="s">
        <v>2582</v>
      </c>
      <c r="J1912" s="41">
        <v>0.99</v>
      </c>
      <c r="K1912" s="41">
        <f>J1912*0.75</f>
        <v>0.7424999999999999</v>
      </c>
      <c r="L1912" s="42">
        <v>50</v>
      </c>
      <c r="M1912" s="41">
        <f t="shared" si="148"/>
        <v>14.849999999999998</v>
      </c>
      <c r="N1912" s="443" t="s">
        <v>2671</v>
      </c>
      <c r="O1912" s="125" t="s">
        <v>2390</v>
      </c>
    </row>
    <row r="1913" spans="2:15" s="447" customFormat="1" ht="12.75">
      <c r="B1913" s="319"/>
      <c r="C1913" s="319"/>
      <c r="D1913" s="319"/>
      <c r="E1913" s="735"/>
      <c r="F1913" s="483"/>
      <c r="G1913" s="319"/>
      <c r="H1913" s="319"/>
      <c r="I1913" s="21" t="s">
        <v>2984</v>
      </c>
      <c r="J1913" s="22">
        <v>0.99</v>
      </c>
      <c r="K1913" s="774">
        <f>J1913*0.75</f>
        <v>0.7424999999999999</v>
      </c>
      <c r="L1913" s="23">
        <v>50</v>
      </c>
      <c r="M1913" s="22">
        <f t="shared" si="148"/>
        <v>14.849999999999998</v>
      </c>
      <c r="N1913" s="848" t="s">
        <v>2671</v>
      </c>
      <c r="O1913" s="448" t="s">
        <v>2390</v>
      </c>
    </row>
    <row r="1914" spans="2:15" s="447" customFormat="1" ht="12.75">
      <c r="B1914" s="319"/>
      <c r="C1914" s="319"/>
      <c r="D1914" s="319"/>
      <c r="E1914" s="735"/>
      <c r="F1914" s="483"/>
      <c r="G1914" s="319"/>
      <c r="H1914" s="319"/>
      <c r="I1914" s="322"/>
      <c r="J1914" s="321"/>
      <c r="K1914" s="321"/>
      <c r="M1914" s="321"/>
      <c r="O1914" s="448"/>
    </row>
    <row r="1915" spans="9:14" ht="15.75">
      <c r="I1915" s="178" t="s">
        <v>3189</v>
      </c>
      <c r="J1915" s="18"/>
      <c r="K1915" s="18"/>
      <c r="L1915" s="210" t="s">
        <v>2971</v>
      </c>
      <c r="M1915" s="18"/>
      <c r="N1915" s="19"/>
    </row>
    <row r="1916" spans="2:15" ht="12.75">
      <c r="B1916" s="195">
        <v>1.3</v>
      </c>
      <c r="C1916" s="195">
        <v>3</v>
      </c>
      <c r="D1916" s="195">
        <v>0.1</v>
      </c>
      <c r="F1916" s="198">
        <v>86</v>
      </c>
      <c r="G1916" s="198">
        <f>B1916/F1916*1000</f>
        <v>15.116279069767442</v>
      </c>
      <c r="H1916" s="1213">
        <f>M1916/F1916*100000</f>
        <v>2877.9069767441856</v>
      </c>
      <c r="I1916" s="2" t="s">
        <v>3190</v>
      </c>
      <c r="J1916" s="18"/>
      <c r="K1916" s="276">
        <v>0.99</v>
      </c>
      <c r="L1916" s="297">
        <v>400</v>
      </c>
      <c r="M1916" s="276">
        <f>K1916/L1916*1000</f>
        <v>2.4749999999999996</v>
      </c>
      <c r="N1916" s="19"/>
      <c r="O1916" s="88" t="s">
        <v>3180</v>
      </c>
    </row>
    <row r="1917" spans="2:15" ht="12.75">
      <c r="B1917" s="195">
        <v>1.3</v>
      </c>
      <c r="C1917" s="195">
        <v>3</v>
      </c>
      <c r="D1917" s="195">
        <v>0.1</v>
      </c>
      <c r="F1917" s="198">
        <v>86</v>
      </c>
      <c r="G1917" s="198">
        <f aca="true" t="shared" si="149" ref="G1917:G1922">B1917/F1917*1000</f>
        <v>15.116279069767442</v>
      </c>
      <c r="H1917" s="1213">
        <f aca="true" t="shared" si="150" ref="H1917:H1922">M1917/F1917*100000</f>
        <v>2877.9069767441856</v>
      </c>
      <c r="I1917" s="2" t="s">
        <v>3143</v>
      </c>
      <c r="J1917" s="18"/>
      <c r="K1917" s="276">
        <v>0.99</v>
      </c>
      <c r="L1917" s="297">
        <v>400</v>
      </c>
      <c r="M1917" s="276">
        <f aca="true" t="shared" si="151" ref="M1917:M1922">K1917/L1917*1000</f>
        <v>2.4749999999999996</v>
      </c>
      <c r="N1917" s="19"/>
      <c r="O1917" s="24" t="s">
        <v>3144</v>
      </c>
    </row>
    <row r="1918" spans="2:15" ht="12.75">
      <c r="B1918" s="195">
        <v>1.3</v>
      </c>
      <c r="C1918" s="195">
        <v>3</v>
      </c>
      <c r="D1918" s="195">
        <v>0.1</v>
      </c>
      <c r="F1918" s="198">
        <v>86</v>
      </c>
      <c r="G1918" s="198">
        <f t="shared" si="149"/>
        <v>15.116279069767442</v>
      </c>
      <c r="H1918" s="1213">
        <f t="shared" si="150"/>
        <v>2877.9069767441856</v>
      </c>
      <c r="I1918" s="1453" t="s">
        <v>1614</v>
      </c>
      <c r="J1918" s="1437"/>
      <c r="K1918" s="1437">
        <v>0.99</v>
      </c>
      <c r="L1918" s="1436">
        <v>400</v>
      </c>
      <c r="M1918" s="1437">
        <f t="shared" si="151"/>
        <v>2.4749999999999996</v>
      </c>
      <c r="N1918" s="19"/>
      <c r="O1918" s="24" t="s">
        <v>3134</v>
      </c>
    </row>
    <row r="1919" spans="2:15" ht="12.75">
      <c r="B1919" s="195">
        <v>1.3</v>
      </c>
      <c r="C1919" s="195">
        <v>3</v>
      </c>
      <c r="D1919" s="195">
        <v>0.1</v>
      </c>
      <c r="F1919" s="198">
        <v>86</v>
      </c>
      <c r="G1919" s="198">
        <f t="shared" si="149"/>
        <v>15.116279069767442</v>
      </c>
      <c r="H1919" s="1213">
        <f t="shared" si="150"/>
        <v>2587.2093023255816</v>
      </c>
      <c r="I1919" s="1472" t="s">
        <v>1614</v>
      </c>
      <c r="J1919" s="1473"/>
      <c r="K1919" s="1473">
        <v>0.89</v>
      </c>
      <c r="L1919" s="1474">
        <v>400</v>
      </c>
      <c r="M1919" s="1473">
        <f t="shared" si="151"/>
        <v>2.225</v>
      </c>
      <c r="N1919" s="19"/>
      <c r="O1919" s="24" t="s">
        <v>706</v>
      </c>
    </row>
    <row r="1920" spans="2:15" ht="12.75">
      <c r="B1920" s="195">
        <v>1.1</v>
      </c>
      <c r="C1920" s="195">
        <v>1</v>
      </c>
      <c r="D1920" s="195">
        <v>0.2</v>
      </c>
      <c r="F1920" s="198">
        <v>84</v>
      </c>
      <c r="G1920" s="198">
        <f t="shared" si="149"/>
        <v>13.095238095238095</v>
      </c>
      <c r="H1920" s="1213">
        <f t="shared" si="150"/>
        <v>1160.7142857142858</v>
      </c>
      <c r="I1920" s="6" t="s">
        <v>1610</v>
      </c>
      <c r="J1920" s="18"/>
      <c r="K1920" s="348">
        <v>0.39</v>
      </c>
      <c r="L1920" s="349">
        <v>400</v>
      </c>
      <c r="M1920" s="348">
        <f t="shared" si="151"/>
        <v>0.9750000000000001</v>
      </c>
      <c r="N1920" s="19"/>
      <c r="O1920" s="24" t="s">
        <v>2799</v>
      </c>
    </row>
    <row r="1921" spans="2:15" ht="12.75">
      <c r="B1921" s="195">
        <v>1.3</v>
      </c>
      <c r="C1921" s="195">
        <v>3</v>
      </c>
      <c r="D1921" s="195">
        <v>0.4</v>
      </c>
      <c r="F1921" s="198">
        <v>86</v>
      </c>
      <c r="G1921" s="198">
        <f t="shared" si="149"/>
        <v>15.116279069767442</v>
      </c>
      <c r="H1921" s="1213">
        <f t="shared" si="150"/>
        <v>1715.1162790697672</v>
      </c>
      <c r="I1921" s="1573" t="s">
        <v>1137</v>
      </c>
      <c r="J1921" s="1574"/>
      <c r="K1921" s="1575">
        <v>0.59</v>
      </c>
      <c r="L1921" s="1576">
        <v>400</v>
      </c>
      <c r="M1921" s="1575">
        <f t="shared" si="151"/>
        <v>1.4749999999999999</v>
      </c>
      <c r="N1921" s="1465"/>
      <c r="O1921" s="24" t="s">
        <v>2799</v>
      </c>
    </row>
    <row r="1922" spans="2:15" ht="12.75">
      <c r="B1922" s="195">
        <v>1.4</v>
      </c>
      <c r="C1922" s="195">
        <v>4.2</v>
      </c>
      <c r="D1922" s="195">
        <v>0.4</v>
      </c>
      <c r="F1922" s="198">
        <v>129</v>
      </c>
      <c r="G1922" s="198">
        <f t="shared" si="149"/>
        <v>10.852713178294573</v>
      </c>
      <c r="H1922" s="1213">
        <f t="shared" si="150"/>
        <v>804.2635658914729</v>
      </c>
      <c r="I1922" s="1155" t="s">
        <v>685</v>
      </c>
      <c r="J1922" s="379"/>
      <c r="K1922" s="348">
        <v>0.83</v>
      </c>
      <c r="L1922" s="349">
        <v>800</v>
      </c>
      <c r="M1922" s="348">
        <f t="shared" si="151"/>
        <v>1.0375</v>
      </c>
      <c r="O1922" s="24" t="s">
        <v>3121</v>
      </c>
    </row>
    <row r="1923" spans="7:15" ht="12.75">
      <c r="G1923" s="198"/>
      <c r="H1923" s="1213"/>
      <c r="I1923" s="277" t="s">
        <v>316</v>
      </c>
      <c r="J1923" s="379"/>
      <c r="K1923" s="348"/>
      <c r="L1923" s="349"/>
      <c r="M1923" s="348"/>
      <c r="O1923" s="24" t="s">
        <v>62</v>
      </c>
    </row>
    <row r="1924" spans="2:15" ht="12.75">
      <c r="B1924" s="195">
        <v>1.3</v>
      </c>
      <c r="C1924" s="195">
        <v>4</v>
      </c>
      <c r="D1924" s="195">
        <v>0.2</v>
      </c>
      <c r="F1924" s="198">
        <v>112</v>
      </c>
      <c r="G1924" s="198">
        <f>B1924/F1924*1000</f>
        <v>11.607142857142858</v>
      </c>
      <c r="H1924" s="1213">
        <f>M1924/F1924*100000</f>
        <v>870.5357142857143</v>
      </c>
      <c r="I1924" s="15" t="s">
        <v>315</v>
      </c>
      <c r="J1924" s="379"/>
      <c r="K1924" s="348">
        <v>0.39</v>
      </c>
      <c r="L1924" s="349">
        <v>400</v>
      </c>
      <c r="M1924" s="348">
        <f>K1924/L1924*1000</f>
        <v>0.9750000000000001</v>
      </c>
      <c r="O1924" s="24" t="s">
        <v>62</v>
      </c>
    </row>
    <row r="1925" spans="2:15" ht="12.75">
      <c r="B1925" s="195">
        <v>1</v>
      </c>
      <c r="C1925" s="195">
        <v>4.8</v>
      </c>
      <c r="D1925" s="195">
        <v>0.4</v>
      </c>
      <c r="F1925" s="198">
        <v>109</v>
      </c>
      <c r="G1925" s="198">
        <f>B1925/F1925*1000</f>
        <v>9.174311926605505</v>
      </c>
      <c r="H1925" s="1213">
        <f>M1925/F1925*100000</f>
        <v>2500</v>
      </c>
      <c r="I1925" s="322" t="s">
        <v>61</v>
      </c>
      <c r="J1925" s="320"/>
      <c r="K1925" s="321">
        <v>1.09</v>
      </c>
      <c r="L1925" s="447">
        <v>400</v>
      </c>
      <c r="M1925" s="321">
        <f>K1925/L1925*1000</f>
        <v>2.725</v>
      </c>
      <c r="O1925" s="24" t="s">
        <v>62</v>
      </c>
    </row>
    <row r="1926" spans="2:15" ht="12.75">
      <c r="B1926" s="195">
        <v>1.3</v>
      </c>
      <c r="C1926" s="195">
        <v>3.3</v>
      </c>
      <c r="D1926" s="195">
        <v>0.1</v>
      </c>
      <c r="F1926" s="198">
        <v>92</v>
      </c>
      <c r="G1926" s="198">
        <f>B1926/F1926*1000</f>
        <v>14.130434782608695</v>
      </c>
      <c r="H1926" s="1213">
        <f>M1926/F1926*100000</f>
        <v>1059.7826086956522</v>
      </c>
      <c r="I1926" s="15" t="s">
        <v>1414</v>
      </c>
      <c r="J1926" s="379"/>
      <c r="K1926" s="348">
        <v>0.39</v>
      </c>
      <c r="L1926" s="349">
        <v>400</v>
      </c>
      <c r="M1926" s="348">
        <f>K1926/L1926*1000</f>
        <v>0.9750000000000001</v>
      </c>
      <c r="O1926" s="24" t="s">
        <v>2090</v>
      </c>
    </row>
    <row r="1927" spans="2:15" ht="12.75">
      <c r="B1927" s="195">
        <v>1.3</v>
      </c>
      <c r="C1927" s="195">
        <v>3</v>
      </c>
      <c r="D1927" s="195">
        <v>0.1</v>
      </c>
      <c r="F1927" s="198">
        <v>89</v>
      </c>
      <c r="G1927" s="198">
        <f>B1927/F1927*1000</f>
        <v>14.606741573033709</v>
      </c>
      <c r="H1927" s="1213">
        <f>M1927/F1927*100000</f>
        <v>926.9662921348313</v>
      </c>
      <c r="I1927" s="378" t="s">
        <v>2941</v>
      </c>
      <c r="J1927" s="379"/>
      <c r="K1927" s="348">
        <v>0.33</v>
      </c>
      <c r="L1927" s="349">
        <v>400</v>
      </c>
      <c r="M1927" s="348">
        <f>K1927/L1927*1000</f>
        <v>0.825</v>
      </c>
      <c r="O1927" s="24" t="s">
        <v>2090</v>
      </c>
    </row>
    <row r="1928" spans="12:13" ht="12.75">
      <c r="L1928" s="447"/>
      <c r="M1928" s="41"/>
    </row>
    <row r="1929" spans="9:14" ht="15.75">
      <c r="I1929" s="178" t="s">
        <v>915</v>
      </c>
      <c r="J1929" s="151"/>
      <c r="N1929" s="614" t="s">
        <v>215</v>
      </c>
    </row>
    <row r="1930" spans="9:15" ht="12.75">
      <c r="I1930" s="378" t="s">
        <v>3142</v>
      </c>
      <c r="J1930" s="151"/>
      <c r="K1930" s="5">
        <v>0.89</v>
      </c>
      <c r="L1930">
        <v>200</v>
      </c>
      <c r="M1930" s="348">
        <f aca="true" t="shared" si="152" ref="M1930:M1936">K1930/L1930*1000</f>
        <v>4.45</v>
      </c>
      <c r="N1930" s="614"/>
      <c r="O1930" s="1494" t="s">
        <v>3140</v>
      </c>
    </row>
    <row r="1931" spans="2:15" s="391" customFormat="1" ht="12.75">
      <c r="B1931" s="441">
        <v>6.2</v>
      </c>
      <c r="C1931" s="441">
        <v>20.6</v>
      </c>
      <c r="D1931" s="441">
        <v>1.2</v>
      </c>
      <c r="E1931" s="748"/>
      <c r="F1931" s="442">
        <v>532</v>
      </c>
      <c r="G1931" s="198">
        <f>B1931/F1931*1000</f>
        <v>11.654135338345865</v>
      </c>
      <c r="H1931" s="1213">
        <f>M1931/F1931*100000</f>
        <v>648.4962406015037</v>
      </c>
      <c r="I1931" s="433" t="s">
        <v>1587</v>
      </c>
      <c r="J1931" s="408"/>
      <c r="K1931" s="512">
        <v>0.69</v>
      </c>
      <c r="L1931" s="409">
        <v>200</v>
      </c>
      <c r="M1931" s="408">
        <f t="shared" si="152"/>
        <v>3.4499999999999997</v>
      </c>
      <c r="N1931" s="1165">
        <f>M1931/3</f>
        <v>1.15</v>
      </c>
      <c r="O1931" s="716" t="s">
        <v>805</v>
      </c>
    </row>
    <row r="1932" spans="2:15" s="391" customFormat="1" ht="12.75">
      <c r="B1932" s="441">
        <v>6.2</v>
      </c>
      <c r="C1932" s="441">
        <v>20.6</v>
      </c>
      <c r="D1932" s="441">
        <v>1.2</v>
      </c>
      <c r="E1932" s="748"/>
      <c r="F1932" s="442">
        <v>532</v>
      </c>
      <c r="G1932" s="198">
        <f>B1932/F1932*1000</f>
        <v>11.654135338345865</v>
      </c>
      <c r="H1932" s="1213">
        <f>M1932/F1932*100000</f>
        <v>610.9022556390978</v>
      </c>
      <c r="I1932" s="378" t="s">
        <v>567</v>
      </c>
      <c r="J1932" s="348" t="s">
        <v>1362</v>
      </c>
      <c r="K1932" s="129">
        <v>0.65</v>
      </c>
      <c r="L1932" s="349">
        <v>200</v>
      </c>
      <c r="M1932" s="348">
        <f t="shared" si="152"/>
        <v>3.2500000000000004</v>
      </c>
      <c r="N1932" s="1165">
        <f>M1932/3</f>
        <v>1.0833333333333335</v>
      </c>
      <c r="O1932" s="448" t="s">
        <v>1586</v>
      </c>
    </row>
    <row r="1933" spans="2:15" s="391" customFormat="1" ht="12.75">
      <c r="B1933" s="441">
        <v>6.2</v>
      </c>
      <c r="C1933" s="441">
        <v>20.6</v>
      </c>
      <c r="D1933" s="441">
        <v>1.2</v>
      </c>
      <c r="E1933" s="748"/>
      <c r="F1933" s="442">
        <v>532</v>
      </c>
      <c r="G1933" s="198">
        <f>B1933/F1933*1000</f>
        <v>11.654135338345865</v>
      </c>
      <c r="H1933" s="1213">
        <f>M1933/F1933*100000</f>
        <v>460.52631578947364</v>
      </c>
      <c r="I1933" s="313" t="s">
        <v>1197</v>
      </c>
      <c r="J1933" s="314"/>
      <c r="K1933" s="626">
        <v>0.49</v>
      </c>
      <c r="L1933" s="315">
        <v>200</v>
      </c>
      <c r="M1933" s="314">
        <f t="shared" si="152"/>
        <v>2.4499999999999997</v>
      </c>
      <c r="N1933" s="1165">
        <f>M1933/3</f>
        <v>0.8166666666666665</v>
      </c>
      <c r="O1933" s="448" t="s">
        <v>1030</v>
      </c>
    </row>
    <row r="1934" spans="2:15" s="391" customFormat="1" ht="12.75">
      <c r="B1934" s="441"/>
      <c r="C1934" s="441"/>
      <c r="D1934" s="441"/>
      <c r="E1934" s="748"/>
      <c r="F1934" s="442"/>
      <c r="G1934" s="198"/>
      <c r="H1934" s="1213"/>
      <c r="I1934" s="1446" t="s">
        <v>418</v>
      </c>
      <c r="J1934" s="400"/>
      <c r="K1934" s="400">
        <v>1.29</v>
      </c>
      <c r="L1934" s="395">
        <v>100</v>
      </c>
      <c r="M1934" s="1447">
        <f t="shared" si="152"/>
        <v>12.9</v>
      </c>
      <c r="N1934" s="1414">
        <f>M1934/2</f>
        <v>6.45</v>
      </c>
      <c r="O1934" s="448" t="s">
        <v>416</v>
      </c>
    </row>
    <row r="1935" spans="2:15" s="391" customFormat="1" ht="12.75">
      <c r="B1935" s="441"/>
      <c r="C1935" s="441"/>
      <c r="D1935" s="441"/>
      <c r="E1935" s="748"/>
      <c r="F1935" s="442"/>
      <c r="G1935" s="198"/>
      <c r="H1935" s="1213"/>
      <c r="I1935" s="399" t="s">
        <v>1619</v>
      </c>
      <c r="J1935" s="400"/>
      <c r="K1935" s="400">
        <v>0.65</v>
      </c>
      <c r="L1935" s="395">
        <v>200</v>
      </c>
      <c r="M1935" s="400">
        <f t="shared" si="152"/>
        <v>3.2500000000000004</v>
      </c>
      <c r="N1935" s="1414">
        <f>M1935/2</f>
        <v>1.6250000000000002</v>
      </c>
      <c r="O1935" s="448" t="s">
        <v>2778</v>
      </c>
    </row>
    <row r="1936" spans="2:15" s="391" customFormat="1" ht="12.75">
      <c r="B1936" s="441"/>
      <c r="C1936" s="441"/>
      <c r="D1936" s="441"/>
      <c r="E1936" s="748"/>
      <c r="F1936" s="442"/>
      <c r="G1936" s="198"/>
      <c r="H1936" s="1213"/>
      <c r="I1936" s="399" t="s">
        <v>977</v>
      </c>
      <c r="J1936" s="400"/>
      <c r="K1936" s="400">
        <v>0.51</v>
      </c>
      <c r="L1936" s="395">
        <v>150</v>
      </c>
      <c r="M1936" s="400">
        <f t="shared" si="152"/>
        <v>3.4000000000000004</v>
      </c>
      <c r="N1936" s="1414">
        <f>M1936/2</f>
        <v>1.7000000000000002</v>
      </c>
      <c r="O1936" s="716" t="s">
        <v>2384</v>
      </c>
    </row>
    <row r="1937" spans="2:15" s="391" customFormat="1" ht="12.75">
      <c r="B1937" s="441"/>
      <c r="C1937" s="441"/>
      <c r="D1937" s="441"/>
      <c r="E1937" s="748"/>
      <c r="F1937" s="442"/>
      <c r="G1937" s="198"/>
      <c r="H1937" s="1213"/>
      <c r="I1937" s="399" t="s">
        <v>978</v>
      </c>
      <c r="J1937" s="400"/>
      <c r="K1937" s="400">
        <v>0.25</v>
      </c>
      <c r="L1937" s="395">
        <v>70</v>
      </c>
      <c r="M1937" s="490">
        <f aca="true" t="shared" si="153" ref="M1937:M1944">K1937/L1937*1000</f>
        <v>3.571428571428571</v>
      </c>
      <c r="N1937" s="1414">
        <f>M1937/2</f>
        <v>1.7857142857142856</v>
      </c>
      <c r="O1937" s="716" t="s">
        <v>2384</v>
      </c>
    </row>
    <row r="1938" spans="2:15" s="391" customFormat="1" ht="12.75">
      <c r="B1938" s="441">
        <v>5.5</v>
      </c>
      <c r="C1938" s="441">
        <v>18.8</v>
      </c>
      <c r="D1938" s="441">
        <v>0.7</v>
      </c>
      <c r="E1938" s="748"/>
      <c r="F1938" s="442">
        <v>443</v>
      </c>
      <c r="G1938" s="198">
        <f>B1938/F1938*1000</f>
        <v>12.415349887133182</v>
      </c>
      <c r="H1938" s="1213">
        <f>M1938/F1938*100000</f>
        <v>598.1941309255079</v>
      </c>
      <c r="I1938" s="378" t="s">
        <v>123</v>
      </c>
      <c r="J1938" s="348"/>
      <c r="K1938" s="348">
        <v>0.53</v>
      </c>
      <c r="L1938" s="349">
        <v>200</v>
      </c>
      <c r="M1938" s="348">
        <f t="shared" si="153"/>
        <v>2.65</v>
      </c>
      <c r="N1938" s="1165">
        <f>M1938/3</f>
        <v>0.8833333333333333</v>
      </c>
      <c r="O1938" s="448" t="s">
        <v>124</v>
      </c>
    </row>
    <row r="1939" spans="2:15" s="391" customFormat="1" ht="12.75">
      <c r="B1939" s="441">
        <v>5.9</v>
      </c>
      <c r="C1939" s="441">
        <v>25.8</v>
      </c>
      <c r="D1939" s="441">
        <v>0.7</v>
      </c>
      <c r="E1939" s="748"/>
      <c r="F1939" s="442">
        <v>604</v>
      </c>
      <c r="G1939" s="198">
        <f>B1939/F1939*1000</f>
        <v>9.768211920529803</v>
      </c>
      <c r="H1939" s="1213">
        <f>M1939/F1939*100000</f>
        <v>397.35099337748346</v>
      </c>
      <c r="I1939" s="378" t="s">
        <v>122</v>
      </c>
      <c r="J1939" s="348"/>
      <c r="K1939" s="348">
        <v>0.48</v>
      </c>
      <c r="L1939" s="349">
        <v>200</v>
      </c>
      <c r="M1939" s="348">
        <f>K1939/L1939*1000</f>
        <v>2.4</v>
      </c>
      <c r="N1939" s="1358" t="s">
        <v>1362</v>
      </c>
      <c r="O1939" s="448" t="s">
        <v>2402</v>
      </c>
    </row>
    <row r="1940" spans="2:15" s="391" customFormat="1" ht="12.75">
      <c r="B1940" s="441">
        <v>5.9</v>
      </c>
      <c r="C1940" s="441">
        <v>25.8</v>
      </c>
      <c r="D1940" s="441">
        <v>0.7</v>
      </c>
      <c r="E1940" s="748"/>
      <c r="F1940" s="442">
        <v>604</v>
      </c>
      <c r="G1940" s="198">
        <f>B1940/F1940*1000</f>
        <v>9.768211920529803</v>
      </c>
      <c r="H1940" s="1213">
        <f>M1940/F1940*100000</f>
        <v>438.7417218543046</v>
      </c>
      <c r="I1940" s="378" t="s">
        <v>122</v>
      </c>
      <c r="J1940" s="348"/>
      <c r="K1940" s="348">
        <v>0.53</v>
      </c>
      <c r="L1940" s="349">
        <v>200</v>
      </c>
      <c r="M1940" s="348">
        <f t="shared" si="153"/>
        <v>2.65</v>
      </c>
      <c r="N1940" s="1165">
        <f>M1940/3</f>
        <v>0.8833333333333333</v>
      </c>
      <c r="O1940" s="448" t="s">
        <v>1489</v>
      </c>
    </row>
    <row r="1941" spans="2:15" s="391" customFormat="1" ht="12.75">
      <c r="B1941" s="441">
        <v>6.2</v>
      </c>
      <c r="C1941" s="441">
        <v>20.6</v>
      </c>
      <c r="D1941" s="441">
        <v>1.2</v>
      </c>
      <c r="E1941" s="748"/>
      <c r="F1941" s="442">
        <v>532</v>
      </c>
      <c r="G1941" s="198">
        <f aca="true" t="shared" si="154" ref="G1941:G1947">B1941/F1941*1000</f>
        <v>11.654135338345865</v>
      </c>
      <c r="H1941" s="1213">
        <f>M1941/F1941*100000</f>
        <v>498.1203007518797</v>
      </c>
      <c r="I1941" s="378" t="s">
        <v>214</v>
      </c>
      <c r="J1941" s="348"/>
      <c r="K1941" s="348">
        <v>0.53</v>
      </c>
      <c r="L1941" s="349">
        <v>200</v>
      </c>
      <c r="M1941" s="348">
        <f t="shared" si="153"/>
        <v>2.65</v>
      </c>
      <c r="N1941" s="1165">
        <f>M1941/3</f>
        <v>0.8833333333333333</v>
      </c>
      <c r="O1941" s="448" t="s">
        <v>1281</v>
      </c>
    </row>
    <row r="1942" spans="2:16" s="1222" customFormat="1" ht="12.75">
      <c r="B1942" s="776">
        <v>5.7</v>
      </c>
      <c r="C1942" s="1223">
        <v>18.5</v>
      </c>
      <c r="D1942" s="1223">
        <v>0.3</v>
      </c>
      <c r="E1942" s="1224"/>
      <c r="F1942" s="689">
        <v>496</v>
      </c>
      <c r="G1942" s="776">
        <f t="shared" si="154"/>
        <v>11.491935483870968</v>
      </c>
      <c r="H1942" s="776"/>
      <c r="I1942" s="977" t="s">
        <v>758</v>
      </c>
      <c r="J1942" s="978"/>
      <c r="K1942" s="12">
        <v>0.79</v>
      </c>
      <c r="L1942" s="978">
        <v>200</v>
      </c>
      <c r="M1942" s="890">
        <f t="shared" si="153"/>
        <v>3.95</v>
      </c>
      <c r="N1942" s="1226">
        <f>M1942/2</f>
        <v>1.975</v>
      </c>
      <c r="O1942" s="792" t="s">
        <v>637</v>
      </c>
      <c r="P1942" s="1227" t="s">
        <v>759</v>
      </c>
    </row>
    <row r="1943" spans="2:15" s="1222" customFormat="1" ht="12.75">
      <c r="B1943" s="776">
        <v>5.7</v>
      </c>
      <c r="C1943" s="1223">
        <v>18.5</v>
      </c>
      <c r="D1943" s="1223">
        <v>0.3</v>
      </c>
      <c r="E1943" s="1224"/>
      <c r="F1943" s="689">
        <v>496</v>
      </c>
      <c r="G1943" s="776">
        <f t="shared" si="154"/>
        <v>11.491935483870968</v>
      </c>
      <c r="H1943" s="776"/>
      <c r="I1943" s="992" t="s">
        <v>758</v>
      </c>
      <c r="J1943" s="667"/>
      <c r="K1943" s="501">
        <v>0.99</v>
      </c>
      <c r="L1943" s="667">
        <v>200</v>
      </c>
      <c r="M1943" s="1225">
        <f t="shared" si="153"/>
        <v>4.949999999999999</v>
      </c>
      <c r="N1943" s="1226">
        <f>M1943/2</f>
        <v>2.4749999999999996</v>
      </c>
      <c r="O1943" s="792" t="s">
        <v>637</v>
      </c>
    </row>
    <row r="1944" spans="2:15" s="840" customFormat="1" ht="12.75">
      <c r="B1944" s="712">
        <v>4.4</v>
      </c>
      <c r="C1944" s="838">
        <v>10.4</v>
      </c>
      <c r="D1944" s="838">
        <v>0.6</v>
      </c>
      <c r="E1944" s="839"/>
      <c r="F1944" s="711">
        <v>376</v>
      </c>
      <c r="G1944" s="712">
        <f t="shared" si="154"/>
        <v>11.702127659574469</v>
      </c>
      <c r="H1944" s="712"/>
      <c r="I1944" s="255" t="s">
        <v>213</v>
      </c>
      <c r="J1944" s="726"/>
      <c r="K1944" s="727">
        <v>1.29</v>
      </c>
      <c r="L1944" s="726">
        <v>200</v>
      </c>
      <c r="M1944" s="988">
        <f t="shared" si="153"/>
        <v>6.45</v>
      </c>
      <c r="N1944" s="1166">
        <f>M1944/2</f>
        <v>3.225</v>
      </c>
      <c r="O1944" s="967" t="s">
        <v>18</v>
      </c>
    </row>
    <row r="1945" spans="2:15" s="3" customFormat="1" ht="12.75">
      <c r="B1945" s="776">
        <v>2.2</v>
      </c>
      <c r="C1945" s="196">
        <v>10.3</v>
      </c>
      <c r="D1945" s="196">
        <v>0.3</v>
      </c>
      <c r="E1945" s="738"/>
      <c r="F1945" s="689">
        <v>383</v>
      </c>
      <c r="G1945" s="389">
        <f t="shared" si="154"/>
        <v>5.7441253263707575</v>
      </c>
      <c r="H1945" s="389"/>
      <c r="I1945" s="992" t="s">
        <v>834</v>
      </c>
      <c r="K1945" s="98">
        <v>0.99</v>
      </c>
      <c r="L1945" s="134">
        <v>150</v>
      </c>
      <c r="M1945" s="41">
        <f aca="true" t="shared" si="155" ref="M1945:M1956">K1945/L1945*1000</f>
        <v>6.6</v>
      </c>
      <c r="O1945" s="50" t="s">
        <v>1583</v>
      </c>
    </row>
    <row r="1946" spans="2:15" s="840" customFormat="1" ht="12.75">
      <c r="B1946" s="712">
        <v>4.4</v>
      </c>
      <c r="C1946" s="838">
        <v>10.4</v>
      </c>
      <c r="D1946" s="838">
        <v>0.6</v>
      </c>
      <c r="E1946" s="839"/>
      <c r="F1946" s="711">
        <v>376</v>
      </c>
      <c r="G1946" s="712">
        <f t="shared" si="154"/>
        <v>11.702127659574469</v>
      </c>
      <c r="H1946" s="712"/>
      <c r="I1946" s="981" t="s">
        <v>282</v>
      </c>
      <c r="J1946" s="982"/>
      <c r="K1946" s="983">
        <v>1.29</v>
      </c>
      <c r="L1946" s="982">
        <v>200</v>
      </c>
      <c r="M1946" s="994">
        <f t="shared" si="155"/>
        <v>6.45</v>
      </c>
      <c r="N1946" s="984" t="s">
        <v>1665</v>
      </c>
      <c r="O1946" s="909" t="s">
        <v>1431</v>
      </c>
    </row>
    <row r="1947" spans="2:15" s="1222" customFormat="1" ht="12.75">
      <c r="B1947" s="941">
        <v>4.9</v>
      </c>
      <c r="C1947" s="941">
        <v>29</v>
      </c>
      <c r="D1947" s="941">
        <v>0.4</v>
      </c>
      <c r="E1947" s="942"/>
      <c r="F1947" s="943">
        <v>470</v>
      </c>
      <c r="G1947" s="941">
        <f t="shared" si="154"/>
        <v>10.425531914893618</v>
      </c>
      <c r="H1947" s="776"/>
      <c r="I1947" s="1152" t="s">
        <v>327</v>
      </c>
      <c r="J1947" s="667"/>
      <c r="K1947" s="501">
        <v>1.79</v>
      </c>
      <c r="L1947" s="667">
        <v>200</v>
      </c>
      <c r="M1947" s="914">
        <f t="shared" si="155"/>
        <v>8.95</v>
      </c>
      <c r="N1947" s="1227"/>
      <c r="O1947" s="1399" t="s">
        <v>1424</v>
      </c>
    </row>
    <row r="1948" spans="2:15" s="3" customFormat="1" ht="12.75">
      <c r="B1948" s="196"/>
      <c r="C1948" s="196"/>
      <c r="D1948" s="196"/>
      <c r="E1948" s="738"/>
      <c r="F1948" s="689"/>
      <c r="G1948" s="776"/>
      <c r="H1948" s="776"/>
      <c r="I1948" s="950" t="s">
        <v>1239</v>
      </c>
      <c r="J1948" s="914">
        <v>1.39</v>
      </c>
      <c r="K1948" s="914">
        <f>J1948*0.99</f>
        <v>1.3760999999999999</v>
      </c>
      <c r="L1948" s="949">
        <v>200</v>
      </c>
      <c r="M1948" s="914">
        <f t="shared" si="155"/>
        <v>6.8805</v>
      </c>
      <c r="N1948" s="13"/>
      <c r="O1948" s="286" t="s">
        <v>1145</v>
      </c>
    </row>
    <row r="1949" spans="2:15" s="3" customFormat="1" ht="12.75">
      <c r="B1949" s="196"/>
      <c r="C1949" s="196"/>
      <c r="D1949" s="196"/>
      <c r="E1949" s="738"/>
      <c r="F1949" s="689"/>
      <c r="G1949" s="776"/>
      <c r="H1949" s="776"/>
      <c r="I1949" s="977" t="s">
        <v>1828</v>
      </c>
      <c r="J1949" s="12">
        <v>0.89</v>
      </c>
      <c r="K1949" s="12">
        <f>J1949*0.99</f>
        <v>0.8811</v>
      </c>
      <c r="L1949" s="978">
        <v>150</v>
      </c>
      <c r="M1949" s="890">
        <f t="shared" si="155"/>
        <v>5.874</v>
      </c>
      <c r="N1949" s="985" t="s">
        <v>1362</v>
      </c>
      <c r="O1949" s="286" t="s">
        <v>337</v>
      </c>
    </row>
    <row r="1950" spans="2:15" s="10" customFormat="1" ht="12.75">
      <c r="B1950" s="218"/>
      <c r="C1950" s="218"/>
      <c r="D1950" s="218"/>
      <c r="E1950" s="737"/>
      <c r="F1950" s="711"/>
      <c r="G1950" s="712"/>
      <c r="H1950" s="712"/>
      <c r="I1950" s="696" t="s">
        <v>1829</v>
      </c>
      <c r="J1950" s="360">
        <v>0.99</v>
      </c>
      <c r="K1950" s="360">
        <f>J1950*0.99</f>
        <v>0.9801</v>
      </c>
      <c r="L1950" s="77">
        <v>150</v>
      </c>
      <c r="M1950" s="360">
        <f t="shared" si="155"/>
        <v>6.534</v>
      </c>
      <c r="O1950" s="722" t="s">
        <v>18</v>
      </c>
    </row>
    <row r="1951" spans="2:15" ht="12.75">
      <c r="B1951" s="195">
        <v>3.6</v>
      </c>
      <c r="C1951" s="195">
        <v>8.7</v>
      </c>
      <c r="D1951" s="195">
        <v>0.3</v>
      </c>
      <c r="F1951" s="389">
        <v>240</v>
      </c>
      <c r="G1951" s="390">
        <f>B1951/F1951*1000</f>
        <v>15.000000000000002</v>
      </c>
      <c r="H1951" s="390"/>
      <c r="I1951" s="43" t="s">
        <v>602</v>
      </c>
      <c r="J1951" s="41">
        <v>1.49</v>
      </c>
      <c r="K1951" s="41">
        <f>J1951*0.99</f>
        <v>1.4751</v>
      </c>
      <c r="L1951" s="42">
        <v>200</v>
      </c>
      <c r="M1951" s="41">
        <f t="shared" si="155"/>
        <v>7.3755</v>
      </c>
      <c r="N1951" s="42"/>
      <c r="O1951" s="51" t="s">
        <v>2120</v>
      </c>
    </row>
    <row r="1952" spans="2:15" ht="12.75">
      <c r="B1952" s="195">
        <v>3.6</v>
      </c>
      <c r="C1952" s="195">
        <v>8.7</v>
      </c>
      <c r="D1952" s="195">
        <v>0.3</v>
      </c>
      <c r="F1952" s="389">
        <v>240</v>
      </c>
      <c r="G1952" s="390">
        <f>B1952/F1952*1000</f>
        <v>15.000000000000002</v>
      </c>
      <c r="H1952" s="390"/>
      <c r="I1952" s="40" t="s">
        <v>2863</v>
      </c>
      <c r="J1952" s="381"/>
      <c r="K1952" s="41">
        <v>1.39</v>
      </c>
      <c r="L1952" s="42">
        <v>200</v>
      </c>
      <c r="M1952" s="41">
        <f t="shared" si="155"/>
        <v>6.949999999999999</v>
      </c>
      <c r="O1952" s="909" t="s">
        <v>354</v>
      </c>
    </row>
    <row r="1953" spans="2:15" ht="12.75">
      <c r="B1953" s="195">
        <v>3.6</v>
      </c>
      <c r="C1953" s="195">
        <v>8.7</v>
      </c>
      <c r="D1953" s="195">
        <v>0.3</v>
      </c>
      <c r="F1953" s="389">
        <v>240</v>
      </c>
      <c r="G1953" s="390">
        <f>B1953/F1953*1000</f>
        <v>15.000000000000002</v>
      </c>
      <c r="H1953" s="390"/>
      <c r="I1953" s="28" t="s">
        <v>2863</v>
      </c>
      <c r="J1953" s="132"/>
      <c r="K1953" s="29">
        <v>1.19</v>
      </c>
      <c r="L1953" s="30">
        <v>200</v>
      </c>
      <c r="M1953" s="116">
        <f t="shared" si="155"/>
        <v>5.949999999999999</v>
      </c>
      <c r="O1953" s="88" t="s">
        <v>233</v>
      </c>
    </row>
    <row r="1954" spans="2:15" s="10" customFormat="1" ht="12.75">
      <c r="B1954" s="218">
        <v>3.6</v>
      </c>
      <c r="C1954" s="218">
        <v>8.7</v>
      </c>
      <c r="D1954" s="218">
        <v>0.3</v>
      </c>
      <c r="E1954" s="737"/>
      <c r="F1954" s="711">
        <v>240</v>
      </c>
      <c r="G1954" s="712">
        <f>B1954/F1954*1000</f>
        <v>15.000000000000002</v>
      </c>
      <c r="H1954" s="712"/>
      <c r="I1954" s="255" t="s">
        <v>459</v>
      </c>
      <c r="J1954" s="256"/>
      <c r="K1954" s="257">
        <v>1.49</v>
      </c>
      <c r="L1954" s="627">
        <v>200</v>
      </c>
      <c r="M1954" s="257">
        <f t="shared" si="155"/>
        <v>7.45</v>
      </c>
      <c r="O1954" s="217" t="s">
        <v>2802</v>
      </c>
    </row>
    <row r="1955" spans="2:15" ht="12.75">
      <c r="B1955" s="195">
        <v>2.2</v>
      </c>
      <c r="C1955" s="195">
        <v>10.3</v>
      </c>
      <c r="D1955" s="195">
        <v>0.3</v>
      </c>
      <c r="F1955" s="389">
        <v>383</v>
      </c>
      <c r="G1955" s="390">
        <f>B1955/F1955*1000</f>
        <v>5.7441253263707575</v>
      </c>
      <c r="H1955" s="390"/>
      <c r="I1955" s="37" t="s">
        <v>841</v>
      </c>
      <c r="J1955" s="38"/>
      <c r="K1955" s="25">
        <v>0.99</v>
      </c>
      <c r="L1955" s="26">
        <v>150</v>
      </c>
      <c r="M1955" s="32">
        <f t="shared" si="155"/>
        <v>6.6</v>
      </c>
      <c r="O1955" s="88" t="s">
        <v>12</v>
      </c>
    </row>
    <row r="1956" spans="7:15" ht="12.75">
      <c r="G1956" s="198"/>
      <c r="H1956" s="198"/>
      <c r="I1956" s="399" t="s">
        <v>2383</v>
      </c>
      <c r="J1956" s="439"/>
      <c r="K1956" s="400">
        <v>1.35</v>
      </c>
      <c r="L1956" s="447">
        <v>200</v>
      </c>
      <c r="M1956" s="41">
        <f t="shared" si="155"/>
        <v>6.750000000000001</v>
      </c>
      <c r="O1956" s="716" t="s">
        <v>928</v>
      </c>
    </row>
    <row r="1957" ht="12.75">
      <c r="M1957" s="5"/>
    </row>
    <row r="1958" spans="9:15" ht="12.75">
      <c r="I1958" s="15" t="s">
        <v>1220</v>
      </c>
      <c r="J1958" s="152"/>
      <c r="K1958" s="16"/>
      <c r="L1958" s="7" t="s">
        <v>2737</v>
      </c>
      <c r="M1958" s="16"/>
      <c r="N1958" s="7"/>
      <c r="O1958" s="51"/>
    </row>
    <row r="1959" spans="2:15" s="859" customFormat="1" ht="11.25">
      <c r="B1959" s="853">
        <v>0.8</v>
      </c>
      <c r="C1959" s="853">
        <v>3.5</v>
      </c>
      <c r="D1959" s="853">
        <v>2</v>
      </c>
      <c r="E1959" s="854"/>
      <c r="F1959" s="855">
        <v>147</v>
      </c>
      <c r="G1959" s="853">
        <f>B1959/F1959*1000</f>
        <v>5.4421768707483</v>
      </c>
      <c r="H1959" s="853"/>
      <c r="I1959" s="903" t="s">
        <v>2349</v>
      </c>
      <c r="J1959" s="904"/>
      <c r="K1959" s="904">
        <v>3.99</v>
      </c>
      <c r="L1959" s="905">
        <v>1000</v>
      </c>
      <c r="M1959" s="904">
        <f>K1959/L1959*1000</f>
        <v>3.9900000000000007</v>
      </c>
      <c r="N1959" s="905"/>
      <c r="O1959" s="865" t="s">
        <v>2475</v>
      </c>
    </row>
    <row r="1960" spans="2:15" s="859" customFormat="1" ht="11.25">
      <c r="B1960" s="853">
        <v>0.6</v>
      </c>
      <c r="C1960" s="853">
        <v>1.8</v>
      </c>
      <c r="D1960" s="853">
        <v>2.8</v>
      </c>
      <c r="E1960" s="854"/>
      <c r="F1960" s="855">
        <v>146</v>
      </c>
      <c r="G1960" s="853">
        <f>B1960/F1960*1000</f>
        <v>4.10958904109589</v>
      </c>
      <c r="H1960" s="853"/>
      <c r="I1960" s="906" t="s">
        <v>1881</v>
      </c>
      <c r="J1960" s="907"/>
      <c r="K1960" s="907">
        <v>3.99</v>
      </c>
      <c r="L1960" s="908">
        <v>1000</v>
      </c>
      <c r="M1960" s="907">
        <f>K1960/L1960*1000</f>
        <v>3.9900000000000007</v>
      </c>
      <c r="N1960" s="908" t="s">
        <v>1362</v>
      </c>
      <c r="O1960" s="865" t="s">
        <v>1320</v>
      </c>
    </row>
    <row r="1961" spans="9:15" ht="12.75">
      <c r="I1961" s="112"/>
      <c r="J1961" s="113"/>
      <c r="K1961" s="113"/>
      <c r="L1961" s="114"/>
      <c r="M1961" s="113"/>
      <c r="N1961" s="114"/>
      <c r="O1961" s="51"/>
    </row>
    <row r="1962" spans="9:15" ht="12.75">
      <c r="I1962" s="112"/>
      <c r="J1962" s="113"/>
      <c r="K1962" s="113"/>
      <c r="L1962" s="114"/>
      <c r="M1962" s="113"/>
      <c r="N1962" s="114"/>
      <c r="O1962" s="51"/>
    </row>
    <row r="1963" spans="9:15" ht="15.75">
      <c r="I1963" s="248" t="s">
        <v>1335</v>
      </c>
      <c r="J1963" s="113"/>
      <c r="K1963" s="113"/>
      <c r="L1963" s="114"/>
      <c r="M1963" s="113"/>
      <c r="N1963" s="114"/>
      <c r="O1963" s="51"/>
    </row>
    <row r="1964" spans="2:15" ht="12.75">
      <c r="B1964" s="195">
        <v>1</v>
      </c>
      <c r="C1964" s="195">
        <v>4.8</v>
      </c>
      <c r="D1964" s="195">
        <v>0.4</v>
      </c>
      <c r="F1964" s="198">
        <v>109</v>
      </c>
      <c r="G1964" s="195">
        <f>B1964/F1964*1000</f>
        <v>9.174311926605505</v>
      </c>
      <c r="H1964" s="1213">
        <f>M1964/F1964*100000</f>
        <v>2202.5229357798157</v>
      </c>
      <c r="I1964" s="40" t="s">
        <v>2197</v>
      </c>
      <c r="J1964" s="41">
        <v>0.99</v>
      </c>
      <c r="K1964" s="41">
        <f>J1964*0.97</f>
        <v>0.9602999999999999</v>
      </c>
      <c r="L1964" s="42">
        <v>400</v>
      </c>
      <c r="M1964" s="41">
        <f>K1964/L1964*1000</f>
        <v>2.4007499999999995</v>
      </c>
      <c r="N1964" s="42"/>
      <c r="O1964" s="125" t="s">
        <v>62</v>
      </c>
    </row>
    <row r="1965" spans="2:15" ht="12.75">
      <c r="B1965" s="195">
        <v>1</v>
      </c>
      <c r="C1965" s="195">
        <v>2.9</v>
      </c>
      <c r="D1965" s="195">
        <v>0.4</v>
      </c>
      <c r="F1965" s="198">
        <v>78</v>
      </c>
      <c r="G1965" s="195">
        <f>B1965/F1965*1000</f>
        <v>12.82051282051282</v>
      </c>
      <c r="I1965" s="28" t="s">
        <v>1542</v>
      </c>
      <c r="J1965" s="29">
        <v>0.8</v>
      </c>
      <c r="K1965" s="29">
        <f>J1965*0.97</f>
        <v>0.776</v>
      </c>
      <c r="L1965" s="30">
        <v>400</v>
      </c>
      <c r="M1965" s="29">
        <f>K1965/L1965*1000</f>
        <v>1.9400000000000002</v>
      </c>
      <c r="N1965" s="42"/>
      <c r="O1965" s="125" t="s">
        <v>2170</v>
      </c>
    </row>
    <row r="1966" spans="9:15" ht="12.75">
      <c r="I1966" s="112"/>
      <c r="J1966" s="113"/>
      <c r="K1966" s="113"/>
      <c r="L1966" s="114"/>
      <c r="M1966" s="113"/>
      <c r="N1966" s="114"/>
      <c r="O1966" s="51"/>
    </row>
    <row r="1967" spans="9:13" ht="15.75">
      <c r="I1967" s="91" t="s">
        <v>1513</v>
      </c>
      <c r="J1967" s="151"/>
      <c r="L1967" s="24" t="s">
        <v>645</v>
      </c>
      <c r="M1967" s="5"/>
    </row>
    <row r="1968" spans="2:15" ht="12.75">
      <c r="B1968" s="195">
        <v>0.8</v>
      </c>
      <c r="C1968" s="195">
        <v>3</v>
      </c>
      <c r="D1968" s="195">
        <v>0.4</v>
      </c>
      <c r="F1968" s="198">
        <v>83</v>
      </c>
      <c r="G1968" s="195">
        <f>B1968/F1968*1000</f>
        <v>9.63855421686747</v>
      </c>
      <c r="H1968" s="1213">
        <f>M1968/F1968*100000</f>
        <v>2048.1927710843374</v>
      </c>
      <c r="I1968" s="112" t="s">
        <v>437</v>
      </c>
      <c r="J1968" s="113"/>
      <c r="K1968" s="113"/>
      <c r="L1968" s="114"/>
      <c r="M1968" s="113">
        <v>1.7</v>
      </c>
      <c r="N1968" s="114"/>
      <c r="O1968" s="51" t="s">
        <v>2514</v>
      </c>
    </row>
    <row r="1969" spans="2:15" ht="12.75">
      <c r="B1969" s="195">
        <v>0.8</v>
      </c>
      <c r="C1969" s="195">
        <v>3.4</v>
      </c>
      <c r="D1969" s="195">
        <v>0.4</v>
      </c>
      <c r="F1969" s="198">
        <v>80</v>
      </c>
      <c r="G1969" s="195">
        <f>B1969/F1969*1000</f>
        <v>10</v>
      </c>
      <c r="H1969" s="1213">
        <f>M1969/F1969*100000</f>
        <v>2237.5</v>
      </c>
      <c r="I1969" s="112" t="s">
        <v>1514</v>
      </c>
      <c r="J1969" s="113"/>
      <c r="K1969" s="113"/>
      <c r="L1969" s="114"/>
      <c r="M1969" s="113">
        <v>1.79</v>
      </c>
      <c r="N1969" s="114"/>
      <c r="O1969" s="125" t="s">
        <v>706</v>
      </c>
    </row>
    <row r="1970" spans="9:15" ht="12.75">
      <c r="I1970" s="112"/>
      <c r="J1970" s="113"/>
      <c r="K1970" s="113"/>
      <c r="L1970" s="114"/>
      <c r="M1970" s="113"/>
      <c r="N1970" s="114"/>
      <c r="O1970" s="51"/>
    </row>
    <row r="1971" spans="9:13" ht="15.75">
      <c r="I1971" s="91" t="s">
        <v>2589</v>
      </c>
      <c r="J1971" s="151"/>
      <c r="L1971" s="24" t="s">
        <v>645</v>
      </c>
      <c r="M1971" s="5"/>
    </row>
    <row r="1972" spans="9:15" ht="12.75">
      <c r="I1972" s="60" t="s">
        <v>1564</v>
      </c>
      <c r="J1972" s="41"/>
      <c r="K1972" s="41">
        <v>0.59</v>
      </c>
      <c r="L1972" s="42">
        <v>400</v>
      </c>
      <c r="M1972" s="41">
        <f>K1972/L1972*1000</f>
        <v>1.4749999999999999</v>
      </c>
      <c r="N1972" s="42"/>
      <c r="O1972" s="24" t="s">
        <v>1480</v>
      </c>
    </row>
    <row r="1973" spans="2:15" ht="12.75">
      <c r="B1973" s="195">
        <v>1.6</v>
      </c>
      <c r="C1973" s="195">
        <v>5</v>
      </c>
      <c r="D1973" s="195">
        <v>0.5</v>
      </c>
      <c r="F1973" s="198">
        <v>164</v>
      </c>
      <c r="G1973" s="195">
        <f>B1973/F1973*1000</f>
        <v>9.75609756097561</v>
      </c>
      <c r="I1973" s="59" t="s">
        <v>2560</v>
      </c>
      <c r="J1973" s="103"/>
      <c r="K1973" s="103">
        <v>1.09</v>
      </c>
      <c r="L1973" s="42">
        <v>680</v>
      </c>
      <c r="M1973" s="41">
        <f>K1973/L1973*1000</f>
        <v>1.6029411764705885</v>
      </c>
      <c r="N1973" s="42"/>
      <c r="O1973" s="24" t="s">
        <v>2935</v>
      </c>
    </row>
    <row r="1974" spans="2:15" ht="12.75">
      <c r="B1974" s="195">
        <v>1</v>
      </c>
      <c r="C1974" s="195">
        <v>2.9</v>
      </c>
      <c r="D1974" s="195">
        <v>0.2</v>
      </c>
      <c r="F1974" s="198">
        <v>81</v>
      </c>
      <c r="G1974" s="195">
        <f>B1974/F1974*1000</f>
        <v>12.345679012345679</v>
      </c>
      <c r="I1974" s="71" t="s">
        <v>105</v>
      </c>
      <c r="J1974" s="116"/>
      <c r="K1974" s="116">
        <v>1.13</v>
      </c>
      <c r="L1974" s="30">
        <v>680</v>
      </c>
      <c r="M1974" s="29">
        <f>K1974/L1974*1000</f>
        <v>1.6617647058823528</v>
      </c>
      <c r="N1974" s="42"/>
      <c r="O1974" s="24" t="s">
        <v>412</v>
      </c>
    </row>
    <row r="1975" spans="9:15" ht="12.75">
      <c r="I1975" s="97" t="s">
        <v>1237</v>
      </c>
      <c r="J1975" s="41"/>
      <c r="K1975" s="276">
        <v>1.25</v>
      </c>
      <c r="L1975" s="42">
        <v>680</v>
      </c>
      <c r="M1975" s="41">
        <f>K1975/L1975*1000</f>
        <v>1.838235294117647</v>
      </c>
      <c r="N1975" s="426"/>
      <c r="O1975" s="24" t="s">
        <v>62</v>
      </c>
    </row>
    <row r="1976" spans="9:15" ht="12.75">
      <c r="I1976" s="97" t="s">
        <v>1238</v>
      </c>
      <c r="J1976" s="41"/>
      <c r="K1976" s="276">
        <v>1.25</v>
      </c>
      <c r="L1976" s="42">
        <v>680</v>
      </c>
      <c r="M1976" s="41">
        <f aca="true" t="shared" si="156" ref="M1976:M1984">K1976/L1976*1000</f>
        <v>1.838235294117647</v>
      </c>
      <c r="N1976" s="426"/>
      <c r="O1976" s="24" t="s">
        <v>2164</v>
      </c>
    </row>
    <row r="1977" spans="9:15" ht="12.75">
      <c r="I1977" s="97" t="s">
        <v>992</v>
      </c>
      <c r="J1977" s="41"/>
      <c r="K1977" s="276">
        <v>1.29</v>
      </c>
      <c r="L1977" s="42">
        <v>680</v>
      </c>
      <c r="M1977" s="41">
        <f t="shared" si="156"/>
        <v>1.897058823529412</v>
      </c>
      <c r="N1977" s="426"/>
      <c r="O1977" s="24" t="s">
        <v>2164</v>
      </c>
    </row>
    <row r="1978" spans="2:15" ht="12.75">
      <c r="B1978" s="195">
        <v>1.5</v>
      </c>
      <c r="C1978" s="195">
        <v>7</v>
      </c>
      <c r="D1978" s="195">
        <v>0.5</v>
      </c>
      <c r="F1978" s="198">
        <v>140</v>
      </c>
      <c r="G1978" s="195">
        <f>B1978/F1978*1000</f>
        <v>10.714285714285714</v>
      </c>
      <c r="I1978" s="97" t="s">
        <v>1827</v>
      </c>
      <c r="J1978" s="41">
        <v>1.99</v>
      </c>
      <c r="K1978" s="25">
        <f>J1978*0.97</f>
        <v>1.9303</v>
      </c>
      <c r="L1978" s="42">
        <v>700</v>
      </c>
      <c r="M1978" s="44">
        <f t="shared" si="156"/>
        <v>2.757571428571428</v>
      </c>
      <c r="N1978" s="443"/>
      <c r="O1978" s="125" t="s">
        <v>3017</v>
      </c>
    </row>
    <row r="1979" spans="2:15" ht="12.75">
      <c r="B1979" s="195">
        <v>1.5</v>
      </c>
      <c r="C1979" s="195">
        <v>7</v>
      </c>
      <c r="D1979" s="195">
        <v>0.5</v>
      </c>
      <c r="F1979" s="198">
        <v>140</v>
      </c>
      <c r="G1979" s="195">
        <f>B1979/F1979*1000</f>
        <v>10.714285714285714</v>
      </c>
      <c r="I1979" s="109" t="s">
        <v>1827</v>
      </c>
      <c r="J1979" s="22">
        <v>1.29</v>
      </c>
      <c r="K1979" s="22">
        <f>J1979*0.97</f>
        <v>1.2513</v>
      </c>
      <c r="L1979" s="23">
        <v>700</v>
      </c>
      <c r="M1979" s="22">
        <f t="shared" si="156"/>
        <v>1.7875714285714288</v>
      </c>
      <c r="N1979" s="492"/>
      <c r="O1979" s="24" t="s">
        <v>2170</v>
      </c>
    </row>
    <row r="1980" spans="9:15" ht="14.25">
      <c r="I1980" s="40" t="s">
        <v>2235</v>
      </c>
      <c r="J1980" s="61"/>
      <c r="K1980" s="41">
        <v>1.79</v>
      </c>
      <c r="L1980" s="42">
        <v>700</v>
      </c>
      <c r="M1980" s="41">
        <f t="shared" si="156"/>
        <v>2.5571428571428574</v>
      </c>
      <c r="N1980" s="99" t="s">
        <v>700</v>
      </c>
      <c r="O1980" s="125" t="s">
        <v>233</v>
      </c>
    </row>
    <row r="1981" spans="9:15" ht="14.25">
      <c r="I1981" s="40" t="s">
        <v>2235</v>
      </c>
      <c r="J1981" s="61"/>
      <c r="K1981" s="41">
        <v>1.99</v>
      </c>
      <c r="L1981" s="42">
        <v>700</v>
      </c>
      <c r="M1981" s="41">
        <f t="shared" si="156"/>
        <v>2.8428571428571425</v>
      </c>
      <c r="N1981" s="42"/>
      <c r="O1981" s="125" t="s">
        <v>2537</v>
      </c>
    </row>
    <row r="1982" spans="2:15" ht="12.75">
      <c r="B1982" s="195">
        <v>1.2</v>
      </c>
      <c r="C1982" s="195">
        <v>4.8</v>
      </c>
      <c r="D1982" s="195">
        <v>0.5</v>
      </c>
      <c r="F1982" s="198">
        <v>120</v>
      </c>
      <c r="G1982" s="195">
        <f>B1982/F1982*1000</f>
        <v>10</v>
      </c>
      <c r="I1982" s="59" t="s">
        <v>842</v>
      </c>
      <c r="J1982" s="157">
        <v>1.19</v>
      </c>
      <c r="K1982" s="5">
        <f>J1982*0.99</f>
        <v>1.1781</v>
      </c>
      <c r="L1982" s="42">
        <v>680</v>
      </c>
      <c r="M1982" s="41">
        <f t="shared" si="156"/>
        <v>1.7325</v>
      </c>
      <c r="N1982" s="108" t="s">
        <v>1362</v>
      </c>
      <c r="O1982" s="448" t="s">
        <v>2120</v>
      </c>
    </row>
    <row r="1983" spans="9:15" ht="12.75">
      <c r="I1983" s="119" t="s">
        <v>571</v>
      </c>
      <c r="J1983" s="192"/>
      <c r="K1983" s="18">
        <v>1.39</v>
      </c>
      <c r="L1983" s="19">
        <v>700</v>
      </c>
      <c r="M1983" s="18">
        <f t="shared" si="156"/>
        <v>1.9857142857142855</v>
      </c>
      <c r="O1983" s="24" t="s">
        <v>1762</v>
      </c>
    </row>
    <row r="1984" spans="9:15" ht="12.75">
      <c r="I1984" s="119" t="s">
        <v>571</v>
      </c>
      <c r="J1984" s="192"/>
      <c r="K1984" s="18">
        <v>1.19</v>
      </c>
      <c r="L1984" s="19">
        <v>700</v>
      </c>
      <c r="M1984" s="18">
        <f t="shared" si="156"/>
        <v>1.7</v>
      </c>
      <c r="O1984" s="24" t="s">
        <v>551</v>
      </c>
    </row>
    <row r="1985" spans="2:14" ht="12.75">
      <c r="B1985" s="195">
        <v>1</v>
      </c>
      <c r="C1985" s="195">
        <v>2.9</v>
      </c>
      <c r="D1985" s="195">
        <v>0.2</v>
      </c>
      <c r="F1985" s="198">
        <v>73</v>
      </c>
      <c r="G1985" s="195">
        <f>B1985/F1985*1000</f>
        <v>13.698630136986301</v>
      </c>
      <c r="I1985" s="43" t="s">
        <v>2078</v>
      </c>
      <c r="J1985" s="41"/>
      <c r="K1985" s="41"/>
      <c r="L1985" s="42">
        <v>680</v>
      </c>
      <c r="M1985" s="41"/>
      <c r="N1985" s="42" t="s">
        <v>2899</v>
      </c>
    </row>
    <row r="1986" spans="9:15" ht="12.75">
      <c r="I1986" s="37" t="s">
        <v>1573</v>
      </c>
      <c r="J1986" s="41"/>
      <c r="K1986" s="41">
        <v>1.29</v>
      </c>
      <c r="L1986" s="42">
        <v>680</v>
      </c>
      <c r="M1986" s="41">
        <f aca="true" t="shared" si="157" ref="M1986:M1993">K1986/L1986*1000</f>
        <v>1.897058823529412</v>
      </c>
      <c r="N1986" s="42" t="s">
        <v>2899</v>
      </c>
      <c r="O1986" s="24" t="s">
        <v>149</v>
      </c>
    </row>
    <row r="1987" spans="9:15" ht="12.75">
      <c r="I1987" s="37" t="s">
        <v>2502</v>
      </c>
      <c r="J1987" s="61"/>
      <c r="K1987" s="41">
        <v>1.49</v>
      </c>
      <c r="L1987" s="42">
        <v>680</v>
      </c>
      <c r="M1987" s="41">
        <f t="shared" si="157"/>
        <v>2.1911764705882355</v>
      </c>
      <c r="N1987" s="42" t="s">
        <v>2745</v>
      </c>
      <c r="O1987" s="24" t="s">
        <v>2237</v>
      </c>
    </row>
    <row r="1988" spans="9:15" ht="12.75">
      <c r="I1988" s="37" t="s">
        <v>2293</v>
      </c>
      <c r="J1988" s="61"/>
      <c r="K1988" s="41">
        <v>1.29</v>
      </c>
      <c r="L1988" s="42">
        <v>680</v>
      </c>
      <c r="M1988" s="41">
        <f t="shared" si="157"/>
        <v>1.897058823529412</v>
      </c>
      <c r="N1988" s="42" t="s">
        <v>2745</v>
      </c>
      <c r="O1988" s="24" t="s">
        <v>326</v>
      </c>
    </row>
    <row r="1989" spans="9:15" ht="12.75">
      <c r="I1989" s="71" t="s">
        <v>2823</v>
      </c>
      <c r="J1989" s="29">
        <v>0.89</v>
      </c>
      <c r="K1989" s="29">
        <f>J1989*0.97</f>
        <v>0.8633</v>
      </c>
      <c r="L1989" s="30">
        <v>680</v>
      </c>
      <c r="M1989" s="29">
        <f t="shared" si="157"/>
        <v>1.2695588235294115</v>
      </c>
      <c r="N1989" s="30" t="s">
        <v>1168</v>
      </c>
      <c r="O1989" s="24" t="s">
        <v>692</v>
      </c>
    </row>
    <row r="1990" spans="9:15" ht="12.75">
      <c r="I1990" s="37" t="s">
        <v>2871</v>
      </c>
      <c r="J1990" s="282"/>
      <c r="K1990" s="25">
        <v>1.87</v>
      </c>
      <c r="L1990" s="42">
        <v>700</v>
      </c>
      <c r="M1990" s="41">
        <f t="shared" si="157"/>
        <v>2.6714285714285717</v>
      </c>
      <c r="N1990" s="42" t="s">
        <v>2351</v>
      </c>
      <c r="O1990" s="24" t="s">
        <v>2353</v>
      </c>
    </row>
    <row r="1991" spans="9:15" ht="12.75">
      <c r="I1991" s="37" t="s">
        <v>2871</v>
      </c>
      <c r="J1991" s="282"/>
      <c r="K1991" s="25">
        <v>1.37</v>
      </c>
      <c r="L1991" s="42">
        <v>700</v>
      </c>
      <c r="M1991" s="41">
        <f t="shared" si="157"/>
        <v>1.9571428571428573</v>
      </c>
      <c r="N1991" s="42" t="s">
        <v>2351</v>
      </c>
      <c r="O1991" s="24" t="s">
        <v>2237</v>
      </c>
    </row>
    <row r="1992" spans="9:15" ht="12.75">
      <c r="I1992" s="17" t="s">
        <v>2871</v>
      </c>
      <c r="J1992" s="192"/>
      <c r="K1992" s="18">
        <v>1.25</v>
      </c>
      <c r="L1992" s="19">
        <v>700</v>
      </c>
      <c r="M1992" s="18">
        <f t="shared" si="157"/>
        <v>1.7857142857142856</v>
      </c>
      <c r="N1992" s="19" t="s">
        <v>2351</v>
      </c>
      <c r="O1992" s="24" t="s">
        <v>608</v>
      </c>
    </row>
    <row r="1993" spans="9:15" ht="12.75">
      <c r="I1993" s="17" t="s">
        <v>2871</v>
      </c>
      <c r="J1993" s="192"/>
      <c r="K1993" s="18">
        <v>0.95</v>
      </c>
      <c r="L1993" s="19">
        <v>700</v>
      </c>
      <c r="M1993" s="18">
        <f t="shared" si="157"/>
        <v>1.3571428571428572</v>
      </c>
      <c r="N1993" s="19" t="s">
        <v>2351</v>
      </c>
      <c r="O1993" s="24" t="s">
        <v>2330</v>
      </c>
    </row>
    <row r="1994" spans="9:14" ht="12.75">
      <c r="I1994" s="17"/>
      <c r="J1994" s="192"/>
      <c r="K1994" s="18"/>
      <c r="L1994" s="19"/>
      <c r="M1994" s="18"/>
      <c r="N1994" s="19"/>
    </row>
    <row r="1995" spans="9:14" ht="15.75">
      <c r="I1995" s="52" t="s">
        <v>847</v>
      </c>
      <c r="J1995" s="192"/>
      <c r="K1995" s="18"/>
      <c r="L1995" s="1091" t="s">
        <v>2737</v>
      </c>
      <c r="M1995" s="18"/>
      <c r="N1995" s="19"/>
    </row>
    <row r="1996" spans="9:15" ht="12.75">
      <c r="I1996" s="6" t="s">
        <v>849</v>
      </c>
      <c r="J1996" s="152"/>
      <c r="K1996" s="16">
        <v>1.99</v>
      </c>
      <c r="L1996" s="7">
        <v>177</v>
      </c>
      <c r="M1996" s="16"/>
      <c r="N1996" s="19"/>
      <c r="O1996" s="24" t="s">
        <v>848</v>
      </c>
    </row>
    <row r="1997" spans="9:15" ht="12.75">
      <c r="I1997" s="40" t="s">
        <v>2513</v>
      </c>
      <c r="J1997" s="192"/>
      <c r="K1997" s="18"/>
      <c r="L1997" s="19">
        <v>95</v>
      </c>
      <c r="M1997" s="18"/>
      <c r="N1997" s="19"/>
      <c r="O1997" s="24" t="s">
        <v>537</v>
      </c>
    </row>
    <row r="1998" spans="9:14" ht="12.75">
      <c r="I1998" s="17"/>
      <c r="J1998" s="192"/>
      <c r="K1998" s="18"/>
      <c r="L1998" s="19"/>
      <c r="M1998" s="18"/>
      <c r="N1998" s="19"/>
    </row>
    <row r="1999" spans="9:13" ht="15.75">
      <c r="I1999" s="52" t="s">
        <v>2958</v>
      </c>
      <c r="J1999" s="151"/>
      <c r="L1999" s="24" t="s">
        <v>2737</v>
      </c>
      <c r="M1999" s="102" t="s">
        <v>2231</v>
      </c>
    </row>
    <row r="2000" spans="2:15" ht="12.75">
      <c r="B2000" s="195">
        <v>1.8</v>
      </c>
      <c r="C2000" s="195">
        <v>7.8</v>
      </c>
      <c r="D2000" s="195">
        <v>0.4</v>
      </c>
      <c r="F2000" s="198">
        <v>178</v>
      </c>
      <c r="G2000" s="195">
        <f>B2000/F2000*1000</f>
        <v>10.112359550561798</v>
      </c>
      <c r="I2000" s="205" t="s">
        <v>739</v>
      </c>
      <c r="J2000" s="4">
        <v>1.99</v>
      </c>
      <c r="K2000" s="5">
        <f>J2000*0.75</f>
        <v>1.4925</v>
      </c>
      <c r="L2000">
        <v>330</v>
      </c>
      <c r="M2000" s="5">
        <f>K2000/L2000*1000</f>
        <v>4.5227272727272725</v>
      </c>
      <c r="O2000" s="24" t="s">
        <v>2127</v>
      </c>
    </row>
    <row r="2001" spans="2:15" ht="12.75">
      <c r="B2001" s="195">
        <v>1.8</v>
      </c>
      <c r="C2001" s="195">
        <v>7.8</v>
      </c>
      <c r="D2001" s="195">
        <v>0.4</v>
      </c>
      <c r="F2001" s="198">
        <v>178</v>
      </c>
      <c r="G2001" s="195">
        <f>B2001/F2001*1000</f>
        <v>10.112359550561798</v>
      </c>
      <c r="I2001" s="205" t="s">
        <v>1228</v>
      </c>
      <c r="J2001" s="4">
        <v>1.99</v>
      </c>
      <c r="K2001" s="5">
        <f>J2001*0.75</f>
        <v>1.4925</v>
      </c>
      <c r="L2001">
        <v>330</v>
      </c>
      <c r="M2001" s="5">
        <f>K2001/L2001*1000</f>
        <v>4.5227272727272725</v>
      </c>
      <c r="O2001" s="24" t="s">
        <v>2127</v>
      </c>
    </row>
    <row r="2002" spans="2:15" ht="12.75">
      <c r="B2002" s="195">
        <v>1.08</v>
      </c>
      <c r="C2002" s="195">
        <v>4.18</v>
      </c>
      <c r="D2002" s="195">
        <v>0.21</v>
      </c>
      <c r="F2002" s="198">
        <v>117</v>
      </c>
      <c r="G2002" s="195">
        <f>B2002/F2002*1000</f>
        <v>9.230769230769232</v>
      </c>
      <c r="I2002" s="2" t="s">
        <v>1368</v>
      </c>
      <c r="K2002" s="5">
        <v>1.69</v>
      </c>
      <c r="L2002">
        <v>340</v>
      </c>
      <c r="M2002" s="5">
        <f aca="true" t="shared" si="158" ref="M2002:M2009">K2002/L2002*1000</f>
        <v>4.970588235294117</v>
      </c>
      <c r="O2002" s="24" t="s">
        <v>1494</v>
      </c>
    </row>
    <row r="2003" spans="9:15" ht="12.75">
      <c r="I2003" s="1" t="s">
        <v>2849</v>
      </c>
      <c r="K2003" s="5">
        <v>1.69</v>
      </c>
      <c r="L2003">
        <v>340</v>
      </c>
      <c r="M2003" s="5">
        <f t="shared" si="158"/>
        <v>4.970588235294117</v>
      </c>
      <c r="O2003" s="24" t="s">
        <v>1352</v>
      </c>
    </row>
    <row r="2004" spans="9:15" ht="14.25">
      <c r="I2004" s="313" t="s">
        <v>278</v>
      </c>
      <c r="J2004" s="404"/>
      <c r="K2004" s="314">
        <v>2.79</v>
      </c>
      <c r="L2004" s="315">
        <v>370</v>
      </c>
      <c r="M2004" s="314">
        <f t="shared" si="158"/>
        <v>7.54054054054054</v>
      </c>
      <c r="O2004" s="24" t="s">
        <v>12</v>
      </c>
    </row>
    <row r="2005" spans="2:15" ht="12.75">
      <c r="B2005" s="195">
        <v>1.9</v>
      </c>
      <c r="C2005" s="195">
        <v>14.5</v>
      </c>
      <c r="D2005" s="195">
        <v>5.2</v>
      </c>
      <c r="F2005" s="198">
        <v>500</v>
      </c>
      <c r="G2005" s="390">
        <f>B2005/F2005*1000</f>
        <v>3.8</v>
      </c>
      <c r="H2005" s="390"/>
      <c r="I2005" s="59" t="s">
        <v>2482</v>
      </c>
      <c r="J2005" s="160"/>
      <c r="K2005" s="5">
        <v>1.97</v>
      </c>
      <c r="L2005">
        <v>350</v>
      </c>
      <c r="M2005" s="5">
        <f>K2005/L2005*1000</f>
        <v>5.628571428571428</v>
      </c>
      <c r="N2005" s="19"/>
      <c r="O2005" s="24" t="s">
        <v>233</v>
      </c>
    </row>
    <row r="2006" spans="2:15" ht="12.75">
      <c r="B2006" s="195">
        <v>3.3</v>
      </c>
      <c r="C2006" s="195">
        <v>13.5</v>
      </c>
      <c r="D2006" s="195">
        <v>3.3</v>
      </c>
      <c r="F2006" s="198">
        <v>416</v>
      </c>
      <c r="G2006" s="195">
        <f>B2006/F2006*1000</f>
        <v>7.9326923076923075</v>
      </c>
      <c r="I2006" s="59" t="s">
        <v>2199</v>
      </c>
      <c r="J2006" s="160"/>
      <c r="K2006" s="5">
        <v>1.85</v>
      </c>
      <c r="L2006">
        <v>350</v>
      </c>
      <c r="M2006" s="5">
        <f>K2006/L2006*1000</f>
        <v>5.285714285714286</v>
      </c>
      <c r="N2006" s="19"/>
      <c r="O2006" s="24" t="s">
        <v>10</v>
      </c>
    </row>
    <row r="2007" spans="2:15" ht="12.75">
      <c r="B2007" s="195">
        <v>3.3</v>
      </c>
      <c r="C2007" s="195">
        <v>13.5</v>
      </c>
      <c r="D2007" s="195">
        <v>3.3</v>
      </c>
      <c r="F2007" s="198">
        <v>416</v>
      </c>
      <c r="G2007" s="195">
        <f>B2007/F2007*1000</f>
        <v>7.9326923076923075</v>
      </c>
      <c r="I2007" s="71" t="s">
        <v>436</v>
      </c>
      <c r="J2007" s="96"/>
      <c r="K2007" s="29">
        <v>1.97</v>
      </c>
      <c r="L2007" s="30">
        <v>350</v>
      </c>
      <c r="M2007" s="29">
        <f t="shared" si="158"/>
        <v>5.628571428571428</v>
      </c>
      <c r="N2007" s="19"/>
      <c r="O2007" s="24" t="s">
        <v>942</v>
      </c>
    </row>
    <row r="2008" spans="2:15" ht="12.75">
      <c r="B2008" s="195">
        <v>3.3</v>
      </c>
      <c r="C2008" s="195">
        <v>13.5</v>
      </c>
      <c r="D2008" s="195">
        <v>3.3</v>
      </c>
      <c r="F2008" s="198">
        <v>416</v>
      </c>
      <c r="G2008" s="195">
        <f>B2008/F2008*1000</f>
        <v>7.9326923076923075</v>
      </c>
      <c r="I2008" s="71" t="s">
        <v>2200</v>
      </c>
      <c r="J2008" s="96"/>
      <c r="K2008" s="29">
        <v>1.97</v>
      </c>
      <c r="L2008" s="30">
        <v>350</v>
      </c>
      <c r="M2008" s="29">
        <f t="shared" si="158"/>
        <v>5.628571428571428</v>
      </c>
      <c r="N2008" s="19"/>
      <c r="O2008" s="24" t="s">
        <v>1246</v>
      </c>
    </row>
    <row r="2009" spans="9:15" ht="12.75">
      <c r="I2009" s="1" t="s">
        <v>473</v>
      </c>
      <c r="J2009" s="160"/>
      <c r="K2009" s="5">
        <v>1.95</v>
      </c>
      <c r="L2009">
        <v>350</v>
      </c>
      <c r="M2009" s="5">
        <f t="shared" si="158"/>
        <v>5.571428571428571</v>
      </c>
      <c r="N2009" s="19"/>
      <c r="O2009" s="24" t="s">
        <v>646</v>
      </c>
    </row>
    <row r="2010" spans="10:14" ht="12.75">
      <c r="J2010" s="160"/>
      <c r="M2010" s="5"/>
      <c r="N2010" s="19"/>
    </row>
    <row r="2011" spans="9:14" ht="15.75">
      <c r="I2011" s="178" t="s">
        <v>606</v>
      </c>
      <c r="J2011" s="96"/>
      <c r="L2011" s="24" t="s">
        <v>2737</v>
      </c>
      <c r="M2011" s="5"/>
      <c r="N2011">
        <f>1.99*0.75</f>
        <v>1.4925</v>
      </c>
    </row>
    <row r="2012" spans="2:15" s="667" customFormat="1" ht="12.75">
      <c r="B2012" s="941"/>
      <c r="C2012" s="941"/>
      <c r="D2012" s="941"/>
      <c r="E2012" s="942"/>
      <c r="F2012" s="943"/>
      <c r="G2012" s="941"/>
      <c r="H2012" s="941"/>
      <c r="I2012" s="1396" t="s">
        <v>1162</v>
      </c>
      <c r="J2012" s="572"/>
      <c r="K2012" s="1030"/>
      <c r="L2012" s="1031"/>
      <c r="M2012" s="573">
        <v>0.99</v>
      </c>
      <c r="N2012" s="817"/>
      <c r="O2012" s="669" t="s">
        <v>2124</v>
      </c>
    </row>
    <row r="2013" spans="2:15" s="667" customFormat="1" ht="12.75">
      <c r="B2013" s="941"/>
      <c r="C2013" s="941"/>
      <c r="D2013" s="941"/>
      <c r="E2013" s="942"/>
      <c r="F2013" s="943"/>
      <c r="G2013" s="941"/>
      <c r="H2013" s="941"/>
      <c r="I2013" s="1396" t="s">
        <v>773</v>
      </c>
      <c r="J2013" s="572"/>
      <c r="K2013" s="1030"/>
      <c r="L2013" s="1031"/>
      <c r="M2013" s="573">
        <v>0.99</v>
      </c>
      <c r="N2013" s="817"/>
      <c r="O2013" s="669" t="s">
        <v>2610</v>
      </c>
    </row>
    <row r="2014" spans="2:15" s="667" customFormat="1" ht="12.75">
      <c r="B2014" s="941"/>
      <c r="C2014" s="941"/>
      <c r="D2014" s="941"/>
      <c r="E2014" s="942"/>
      <c r="F2014" s="943"/>
      <c r="G2014" s="941"/>
      <c r="H2014" s="941"/>
      <c r="I2014" s="571" t="s">
        <v>29</v>
      </c>
      <c r="J2014" s="572"/>
      <c r="K2014" s="1030"/>
      <c r="L2014" s="1031"/>
      <c r="M2014" s="573">
        <v>0.85</v>
      </c>
      <c r="N2014" s="817"/>
      <c r="O2014" s="669" t="s">
        <v>2179</v>
      </c>
    </row>
    <row r="2015" spans="2:15" s="667" customFormat="1" ht="12.75">
      <c r="B2015" s="941"/>
      <c r="C2015" s="941"/>
      <c r="D2015" s="941"/>
      <c r="E2015" s="942"/>
      <c r="F2015" s="943"/>
      <c r="G2015" s="941"/>
      <c r="H2015" s="941"/>
      <c r="I2015" s="1025" t="s">
        <v>29</v>
      </c>
      <c r="J2015" s="1026"/>
      <c r="K2015" s="1027"/>
      <c r="L2015" s="1028"/>
      <c r="M2015" s="1029">
        <v>0.89</v>
      </c>
      <c r="N2015" s="817"/>
      <c r="O2015" s="669" t="s">
        <v>2164</v>
      </c>
    </row>
    <row r="2016" spans="2:15" s="667" customFormat="1" ht="12.75">
      <c r="B2016" s="941"/>
      <c r="C2016" s="941"/>
      <c r="D2016" s="941"/>
      <c r="E2016" s="942"/>
      <c r="F2016" s="943"/>
      <c r="G2016" s="941"/>
      <c r="H2016" s="941"/>
      <c r="I2016" s="571" t="s">
        <v>647</v>
      </c>
      <c r="J2016" s="572"/>
      <c r="K2016" s="1030"/>
      <c r="L2016" s="1031"/>
      <c r="M2016" s="573">
        <v>1.19</v>
      </c>
      <c r="N2016" s="817"/>
      <c r="O2016" s="669" t="s">
        <v>2164</v>
      </c>
    </row>
    <row r="2017" spans="2:15" s="667" customFormat="1" ht="12.75">
      <c r="B2017" s="941"/>
      <c r="C2017" s="941"/>
      <c r="D2017" s="941"/>
      <c r="E2017" s="942"/>
      <c r="F2017" s="943"/>
      <c r="G2017" s="941"/>
      <c r="H2017" s="941"/>
      <c r="I2017" s="1158" t="s">
        <v>647</v>
      </c>
      <c r="J2017" s="1159"/>
      <c r="K2017" s="1160"/>
      <c r="L2017" s="1161"/>
      <c r="M2017" s="1162">
        <v>0.99</v>
      </c>
      <c r="N2017" s="817"/>
      <c r="O2017" s="669" t="s">
        <v>754</v>
      </c>
    </row>
    <row r="2018" spans="2:15" s="667" customFormat="1" ht="12.75">
      <c r="B2018" s="1164">
        <v>0.1</v>
      </c>
      <c r="C2018" s="941">
        <v>11</v>
      </c>
      <c r="D2018" s="1164">
        <v>0.1</v>
      </c>
      <c r="E2018" s="942"/>
      <c r="F2018" s="943">
        <v>193</v>
      </c>
      <c r="G2018" s="195">
        <f>B2018/F2018*1000</f>
        <v>0.5181347150259067</v>
      </c>
      <c r="H2018" s="941"/>
      <c r="I2018" s="1163" t="s">
        <v>635</v>
      </c>
      <c r="J2018" s="572"/>
      <c r="K2018" s="1030"/>
      <c r="L2018" s="1031"/>
      <c r="M2018" s="573">
        <v>1.19</v>
      </c>
      <c r="N2018" s="817"/>
      <c r="O2018" s="669" t="s">
        <v>18</v>
      </c>
    </row>
    <row r="2019" spans="2:15" s="667" customFormat="1" ht="12.75">
      <c r="B2019" s="1164">
        <v>0.1</v>
      </c>
      <c r="C2019" s="941">
        <v>11</v>
      </c>
      <c r="D2019" s="1164">
        <v>0.1</v>
      </c>
      <c r="E2019" s="942"/>
      <c r="F2019" s="943">
        <v>193</v>
      </c>
      <c r="G2019" s="195">
        <f>B2019/F2019*1000</f>
        <v>0.5181347150259067</v>
      </c>
      <c r="H2019" s="941"/>
      <c r="I2019" s="1309" t="s">
        <v>635</v>
      </c>
      <c r="J2019" s="1159"/>
      <c r="K2019" s="1160"/>
      <c r="L2019" s="1161"/>
      <c r="M2019" s="1162">
        <v>0.99</v>
      </c>
      <c r="N2019" s="817"/>
      <c r="O2019" s="669" t="s">
        <v>18</v>
      </c>
    </row>
    <row r="2020" spans="2:15" s="667" customFormat="1" ht="12.75">
      <c r="B2020" s="941"/>
      <c r="C2020" s="941"/>
      <c r="D2020" s="941"/>
      <c r="E2020" s="942"/>
      <c r="F2020" s="943"/>
      <c r="G2020" s="941"/>
      <c r="H2020" s="941"/>
      <c r="I2020" s="1158" t="s">
        <v>1654</v>
      </c>
      <c r="J2020" s="1159"/>
      <c r="K2020" s="1160"/>
      <c r="L2020" s="1161"/>
      <c r="M2020" s="1162">
        <v>0.99</v>
      </c>
      <c r="N2020" s="817"/>
      <c r="O2020" s="669" t="s">
        <v>1223</v>
      </c>
    </row>
    <row r="2021" spans="2:15" s="667" customFormat="1" ht="12.75">
      <c r="B2021" s="941"/>
      <c r="C2021" s="941"/>
      <c r="D2021" s="941"/>
      <c r="E2021" s="942"/>
      <c r="F2021" s="943"/>
      <c r="G2021" s="941"/>
      <c r="H2021" s="941"/>
      <c r="I2021" s="1158" t="s">
        <v>2157</v>
      </c>
      <c r="J2021" s="1159"/>
      <c r="K2021" s="1160"/>
      <c r="L2021" s="1161"/>
      <c r="M2021" s="1162">
        <v>0.99</v>
      </c>
      <c r="N2021" s="817"/>
      <c r="O2021" s="669" t="s">
        <v>157</v>
      </c>
    </row>
    <row r="2022" spans="2:15" s="667" customFormat="1" ht="12.75">
      <c r="B2022" s="941"/>
      <c r="C2022" s="941"/>
      <c r="D2022" s="941"/>
      <c r="E2022" s="942"/>
      <c r="F2022" s="943"/>
      <c r="G2022" s="941"/>
      <c r="H2022" s="941"/>
      <c r="I2022" s="1025" t="s">
        <v>2157</v>
      </c>
      <c r="J2022" s="1026"/>
      <c r="K2022" s="1027"/>
      <c r="L2022" s="1028"/>
      <c r="M2022" s="1029">
        <v>0.79</v>
      </c>
      <c r="N2022" s="817"/>
      <c r="O2022" s="669" t="s">
        <v>1295</v>
      </c>
    </row>
    <row r="2023" spans="2:15" s="667" customFormat="1" ht="12.75">
      <c r="B2023" s="941"/>
      <c r="C2023" s="941"/>
      <c r="D2023" s="941"/>
      <c r="E2023" s="942"/>
      <c r="F2023" s="943"/>
      <c r="G2023" s="941"/>
      <c r="H2023" s="941"/>
      <c r="I2023" s="1025" t="s">
        <v>2156</v>
      </c>
      <c r="J2023" s="1026"/>
      <c r="K2023" s="1027"/>
      <c r="L2023" s="1028"/>
      <c r="M2023" s="1029">
        <v>0.79</v>
      </c>
      <c r="N2023" s="817"/>
      <c r="O2023" s="669" t="s">
        <v>3017</v>
      </c>
    </row>
    <row r="2024" spans="2:15" ht="12.75">
      <c r="B2024" s="195">
        <v>0.1</v>
      </c>
      <c r="C2024" s="195">
        <v>11.1</v>
      </c>
      <c r="D2024" s="195">
        <v>0.1</v>
      </c>
      <c r="F2024" s="198">
        <v>203</v>
      </c>
      <c r="G2024" s="195">
        <f aca="true" t="shared" si="159" ref="G2024:G2029">B2024/F2024*1000</f>
        <v>0.4926108374384237</v>
      </c>
      <c r="I2024" s="40" t="s">
        <v>1055</v>
      </c>
      <c r="J2024" s="924"/>
      <c r="K2024" s="276">
        <v>1.89</v>
      </c>
      <c r="L2024" s="42">
        <v>1000</v>
      </c>
      <c r="M2024" s="41">
        <f>K2024/L2024*1000</f>
        <v>1.89</v>
      </c>
      <c r="N2024" s="42"/>
      <c r="O2024" s="125" t="s">
        <v>385</v>
      </c>
    </row>
    <row r="2025" spans="2:15" ht="12.75">
      <c r="B2025" s="195">
        <v>0.1</v>
      </c>
      <c r="C2025" s="195">
        <v>11</v>
      </c>
      <c r="D2025" s="195">
        <v>0.3</v>
      </c>
      <c r="F2025" s="198">
        <v>194</v>
      </c>
      <c r="G2025" s="195">
        <f t="shared" si="159"/>
        <v>0.5154639175257733</v>
      </c>
      <c r="I2025" s="97" t="s">
        <v>2047</v>
      </c>
      <c r="J2025" s="163"/>
      <c r="K2025" s="276">
        <v>1.99</v>
      </c>
      <c r="L2025" s="42">
        <v>1000</v>
      </c>
      <c r="M2025" s="41">
        <f>K2025/L2025*1000</f>
        <v>1.99</v>
      </c>
      <c r="N2025" s="42"/>
      <c r="O2025" s="125" t="s">
        <v>1641</v>
      </c>
    </row>
    <row r="2026" spans="2:15" ht="12.75">
      <c r="B2026" s="195">
        <v>0.1</v>
      </c>
      <c r="C2026" s="195">
        <v>11</v>
      </c>
      <c r="D2026" s="195">
        <v>0.3</v>
      </c>
      <c r="F2026" s="198">
        <v>194</v>
      </c>
      <c r="G2026" s="195">
        <f t="shared" si="159"/>
        <v>0.5154639175257733</v>
      </c>
      <c r="I2026" s="71" t="s">
        <v>2047</v>
      </c>
      <c r="J2026" s="158"/>
      <c r="K2026" s="116">
        <v>1.89</v>
      </c>
      <c r="L2026" s="30">
        <v>1000</v>
      </c>
      <c r="M2026" s="29">
        <f>K2026/L2026*1000</f>
        <v>1.89</v>
      </c>
      <c r="N2026" s="42"/>
      <c r="O2026" s="125" t="s">
        <v>385</v>
      </c>
    </row>
    <row r="2027" spans="2:15" ht="12.75">
      <c r="B2027" s="195">
        <v>0.1</v>
      </c>
      <c r="C2027" s="195">
        <v>11</v>
      </c>
      <c r="D2027" s="195">
        <v>0.3</v>
      </c>
      <c r="F2027" s="198">
        <v>194</v>
      </c>
      <c r="G2027" s="195">
        <f t="shared" si="159"/>
        <v>0.5154639175257733</v>
      </c>
      <c r="I2027" s="109" t="s">
        <v>2047</v>
      </c>
      <c r="J2027" s="924"/>
      <c r="K2027" s="774">
        <v>1.79</v>
      </c>
      <c r="L2027" s="23">
        <v>1000</v>
      </c>
      <c r="M2027" s="22">
        <f>K2027/L2027*1000</f>
        <v>1.79</v>
      </c>
      <c r="N2027" s="33" t="s">
        <v>3107</v>
      </c>
      <c r="O2027" s="125" t="s">
        <v>1792</v>
      </c>
    </row>
    <row r="2028" spans="2:15" ht="12.75">
      <c r="B2028" s="195">
        <v>0.1</v>
      </c>
      <c r="C2028" s="195">
        <v>11.1</v>
      </c>
      <c r="D2028" s="195">
        <v>0.1</v>
      </c>
      <c r="F2028" s="198">
        <v>203</v>
      </c>
      <c r="G2028" s="195">
        <f t="shared" si="159"/>
        <v>0.4926108374384237</v>
      </c>
      <c r="I2028" s="109" t="s">
        <v>1055</v>
      </c>
      <c r="J2028" s="924"/>
      <c r="K2028" s="774">
        <v>1.79</v>
      </c>
      <c r="L2028" s="23">
        <v>1000</v>
      </c>
      <c r="M2028" s="22">
        <f>K2028/L2028*1000</f>
        <v>1.79</v>
      </c>
      <c r="N2028" s="33" t="s">
        <v>3107</v>
      </c>
      <c r="O2028" s="125" t="s">
        <v>1868</v>
      </c>
    </row>
    <row r="2029" spans="2:15" ht="12.75">
      <c r="B2029" s="195">
        <v>0.1</v>
      </c>
      <c r="C2029" s="195">
        <v>11.1</v>
      </c>
      <c r="D2029" s="195">
        <v>0.1</v>
      </c>
      <c r="F2029" s="198">
        <v>203</v>
      </c>
      <c r="G2029" s="195">
        <f t="shared" si="159"/>
        <v>0.4926108374384237</v>
      </c>
      <c r="I2029" s="109" t="s">
        <v>1055</v>
      </c>
      <c r="J2029" s="120"/>
      <c r="K2029" s="22">
        <v>1.59</v>
      </c>
      <c r="L2029" s="23">
        <v>1000</v>
      </c>
      <c r="M2029" s="22">
        <f aca="true" t="shared" si="160" ref="M2029:M2039">K2029/L2029*1000</f>
        <v>1.59</v>
      </c>
      <c r="N2029" s="33" t="s">
        <v>3107</v>
      </c>
      <c r="O2029" s="88" t="s">
        <v>337</v>
      </c>
    </row>
    <row r="2030" spans="2:15" s="667" customFormat="1" ht="12.75">
      <c r="B2030" s="941"/>
      <c r="C2030" s="941"/>
      <c r="D2030" s="941"/>
      <c r="E2030" s="942"/>
      <c r="F2030" s="943"/>
      <c r="G2030" s="941"/>
      <c r="H2030" s="941"/>
      <c r="I2030" s="665" t="s">
        <v>2897</v>
      </c>
      <c r="J2030" s="666"/>
      <c r="K2030" s="961">
        <f>2.29*0.75</f>
        <v>1.7175</v>
      </c>
      <c r="L2030" s="667">
        <v>1000</v>
      </c>
      <c r="M2030" s="501">
        <f>K2030/L2030*1000</f>
        <v>1.7175</v>
      </c>
      <c r="N2030" s="817" t="s">
        <v>141</v>
      </c>
      <c r="O2030" s="669" t="s">
        <v>1145</v>
      </c>
    </row>
    <row r="2031" spans="2:15" s="667" customFormat="1" ht="12.75">
      <c r="B2031" s="941"/>
      <c r="C2031" s="941"/>
      <c r="D2031" s="941"/>
      <c r="E2031" s="942"/>
      <c r="F2031" s="943"/>
      <c r="G2031" s="941"/>
      <c r="H2031" s="941"/>
      <c r="I2031" s="951" t="s">
        <v>1671</v>
      </c>
      <c r="J2031" s="952"/>
      <c r="K2031" s="953">
        <f>2.29*0.75</f>
        <v>1.7175</v>
      </c>
      <c r="L2031" s="954">
        <v>1000</v>
      </c>
      <c r="M2031" s="953">
        <f t="shared" si="160"/>
        <v>1.7175</v>
      </c>
      <c r="N2031" s="488" t="s">
        <v>141</v>
      </c>
      <c r="O2031" s="669" t="s">
        <v>1094</v>
      </c>
    </row>
    <row r="2032" spans="2:15" s="667" customFormat="1" ht="12.75">
      <c r="B2032" s="941"/>
      <c r="C2032" s="941"/>
      <c r="D2032" s="941"/>
      <c r="E2032" s="942"/>
      <c r="F2032" s="943"/>
      <c r="G2032" s="941"/>
      <c r="H2032" s="941"/>
      <c r="I2032" s="951" t="s">
        <v>1671</v>
      </c>
      <c r="J2032" s="952"/>
      <c r="K2032" s="953">
        <v>2.29</v>
      </c>
      <c r="L2032" s="954">
        <v>1000</v>
      </c>
      <c r="M2032" s="953">
        <f>K2032/L2032*1000</f>
        <v>2.29</v>
      </c>
      <c r="N2032" s="955"/>
      <c r="O2032" s="722" t="s">
        <v>1094</v>
      </c>
    </row>
    <row r="2033" spans="9:15" ht="12.75">
      <c r="I2033" s="313" t="s">
        <v>621</v>
      </c>
      <c r="J2033" s="404"/>
      <c r="K2033" s="626">
        <f>2.19*0.75*0.9</f>
        <v>1.47825</v>
      </c>
      <c r="L2033" s="315">
        <v>1000</v>
      </c>
      <c r="M2033" s="314">
        <f>K2033/L2033*1000</f>
        <v>1.47825</v>
      </c>
      <c r="N2033" s="488" t="s">
        <v>905</v>
      </c>
      <c r="O2033" s="125" t="s">
        <v>354</v>
      </c>
    </row>
    <row r="2034" spans="9:15" ht="12.75">
      <c r="I2034" s="313" t="s">
        <v>621</v>
      </c>
      <c r="J2034" s="404"/>
      <c r="K2034" s="626">
        <f>2.19*0.75</f>
        <v>1.6425</v>
      </c>
      <c r="L2034" s="315">
        <v>1000</v>
      </c>
      <c r="M2034" s="314">
        <f t="shared" si="160"/>
        <v>1.6425</v>
      </c>
      <c r="N2034" s="488" t="s">
        <v>141</v>
      </c>
      <c r="O2034" s="125" t="s">
        <v>2488</v>
      </c>
    </row>
    <row r="2035" spans="9:15" ht="12.75">
      <c r="I2035" s="313" t="s">
        <v>621</v>
      </c>
      <c r="J2035" s="404"/>
      <c r="K2035" s="314">
        <v>2.19</v>
      </c>
      <c r="L2035" s="315">
        <v>1000</v>
      </c>
      <c r="M2035" s="314">
        <f>K2035/L2035*1000</f>
        <v>2.19</v>
      </c>
      <c r="N2035" s="488"/>
      <c r="O2035" s="51" t="s">
        <v>354</v>
      </c>
    </row>
    <row r="2036" spans="9:15" ht="12.75">
      <c r="I2036" s="313" t="s">
        <v>621</v>
      </c>
      <c r="J2036" s="404"/>
      <c r="K2036" s="314">
        <v>1.99</v>
      </c>
      <c r="L2036" s="315">
        <v>1000</v>
      </c>
      <c r="M2036" s="314">
        <f t="shared" si="160"/>
        <v>1.99</v>
      </c>
      <c r="N2036" s="488"/>
      <c r="O2036" s="51" t="s">
        <v>2390</v>
      </c>
    </row>
    <row r="2037" spans="9:15" ht="12.75">
      <c r="I2037" s="313" t="s">
        <v>621</v>
      </c>
      <c r="J2037" s="404"/>
      <c r="K2037" s="314">
        <v>1.89</v>
      </c>
      <c r="L2037" s="315">
        <v>1000</v>
      </c>
      <c r="M2037" s="314">
        <f t="shared" si="160"/>
        <v>1.89</v>
      </c>
      <c r="N2037" s="488"/>
      <c r="O2037" s="88" t="s">
        <v>1762</v>
      </c>
    </row>
    <row r="2038" spans="3:15" ht="12.75">
      <c r="C2038" s="1603" t="s">
        <v>1369</v>
      </c>
      <c r="D2038" s="1604"/>
      <c r="E2038" s="1604"/>
      <c r="F2038" s="1604"/>
      <c r="I2038" s="313" t="s">
        <v>621</v>
      </c>
      <c r="J2038" s="404"/>
      <c r="K2038" s="314">
        <v>1.49</v>
      </c>
      <c r="L2038" s="315">
        <v>1000</v>
      </c>
      <c r="M2038" s="314">
        <f t="shared" si="160"/>
        <v>1.49</v>
      </c>
      <c r="N2038" s="488" t="s">
        <v>3080</v>
      </c>
      <c r="O2038" s="88" t="s">
        <v>318</v>
      </c>
    </row>
    <row r="2039" spans="2:15" s="10" customFormat="1" ht="12.75">
      <c r="B2039" s="218"/>
      <c r="C2039" s="218"/>
      <c r="D2039" s="218"/>
      <c r="E2039" s="737"/>
      <c r="F2039" s="219"/>
      <c r="G2039" s="218"/>
      <c r="H2039" s="218"/>
      <c r="I2039" s="956" t="s">
        <v>1671</v>
      </c>
      <c r="J2039" s="957"/>
      <c r="K2039" s="958">
        <v>1.49</v>
      </c>
      <c r="L2039" s="959">
        <v>1000</v>
      </c>
      <c r="M2039" s="958">
        <f t="shared" si="160"/>
        <v>1.49</v>
      </c>
      <c r="N2039" s="960" t="s">
        <v>1841</v>
      </c>
      <c r="O2039" s="692" t="s">
        <v>692</v>
      </c>
    </row>
    <row r="2040" spans="2:15" ht="12.75">
      <c r="B2040" s="195">
        <v>0.7</v>
      </c>
      <c r="C2040" s="195">
        <v>9</v>
      </c>
      <c r="D2040" s="195">
        <v>0.2</v>
      </c>
      <c r="F2040" s="198">
        <v>185</v>
      </c>
      <c r="G2040" s="195">
        <f>B2040/F2040*1000</f>
        <v>3.7837837837837838</v>
      </c>
      <c r="I2040" s="40" t="s">
        <v>133</v>
      </c>
      <c r="J2040" s="66"/>
      <c r="K2040" s="41">
        <v>1.75</v>
      </c>
      <c r="L2040" s="42">
        <v>1000</v>
      </c>
      <c r="M2040" s="32">
        <f>K2040/L2040*1000</f>
        <v>1.75</v>
      </c>
      <c r="N2040" s="63"/>
      <c r="O2040" s="88" t="s">
        <v>2731</v>
      </c>
    </row>
    <row r="2041" spans="2:15" s="10" customFormat="1" ht="12.75">
      <c r="B2041" s="218"/>
      <c r="C2041" s="218"/>
      <c r="D2041" s="218"/>
      <c r="E2041" s="737"/>
      <c r="F2041" s="219"/>
      <c r="G2041" s="218"/>
      <c r="H2041" s="218"/>
      <c r="I2041" s="693" t="s">
        <v>1657</v>
      </c>
      <c r="J2041" s="155"/>
      <c r="K2041" s="694">
        <v>1.49</v>
      </c>
      <c r="L2041" s="695">
        <v>1000</v>
      </c>
      <c r="M2041" s="76">
        <f>K2041/L2041*1000</f>
        <v>1.49</v>
      </c>
      <c r="N2041" s="695" t="s">
        <v>2650</v>
      </c>
      <c r="O2041" s="217" t="s">
        <v>2475</v>
      </c>
    </row>
    <row r="2042" spans="9:15" ht="12.75">
      <c r="I2042" s="60" t="s">
        <v>628</v>
      </c>
      <c r="J2042" s="66"/>
      <c r="K2042" s="103">
        <f>1.99*0.75*0.9</f>
        <v>1.34325</v>
      </c>
      <c r="L2042" s="63">
        <v>1000</v>
      </c>
      <c r="M2042" s="32">
        <f>K2042/L2042*1000</f>
        <v>1.34325</v>
      </c>
      <c r="N2042" s="267" t="s">
        <v>905</v>
      </c>
      <c r="O2042" s="125" t="s">
        <v>354</v>
      </c>
    </row>
    <row r="2043" spans="9:15" ht="12.75">
      <c r="I2043" s="2" t="s">
        <v>782</v>
      </c>
      <c r="J2043" s="151"/>
      <c r="K2043" s="103">
        <f>1.99*0.75</f>
        <v>1.4925</v>
      </c>
      <c r="L2043" s="63">
        <v>1000</v>
      </c>
      <c r="M2043" s="32">
        <f>K2043/L2043*1000</f>
        <v>1.4925</v>
      </c>
      <c r="N2043" s="817" t="s">
        <v>2698</v>
      </c>
      <c r="O2043" s="125" t="s">
        <v>2439</v>
      </c>
    </row>
    <row r="2044" spans="9:15" ht="12.75">
      <c r="I2044" s="31" t="s">
        <v>712</v>
      </c>
      <c r="J2044" s="66"/>
      <c r="K2044" s="62">
        <v>1.99</v>
      </c>
      <c r="L2044" s="63">
        <v>1000</v>
      </c>
      <c r="M2044" s="32">
        <f>K2044/L2044*1000</f>
        <v>1.99</v>
      </c>
      <c r="N2044" s="817"/>
      <c r="O2044" s="51" t="s">
        <v>1094</v>
      </c>
    </row>
    <row r="2045" spans="9:15" ht="12.75">
      <c r="I2045" s="31"/>
      <c r="J2045" s="66"/>
      <c r="K2045" s="62"/>
      <c r="L2045" s="63"/>
      <c r="M2045" s="32"/>
      <c r="N2045" s="63"/>
      <c r="O2045" s="88"/>
    </row>
    <row r="2046" ht="12.75">
      <c r="M2046" s="5"/>
    </row>
    <row r="2047" spans="9:13" ht="15.75">
      <c r="I2047" s="178" t="s">
        <v>3102</v>
      </c>
      <c r="J2047" s="151"/>
      <c r="M2047" s="5"/>
    </row>
    <row r="2048" spans="9:15" ht="13.5" customHeight="1">
      <c r="I2048" s="322" t="s">
        <v>979</v>
      </c>
      <c r="J2048" s="321"/>
      <c r="K2048" s="321">
        <v>1.49</v>
      </c>
      <c r="L2048" s="447">
        <v>500</v>
      </c>
      <c r="M2048" s="321">
        <f>K2048/L2048*1000</f>
        <v>2.98</v>
      </c>
      <c r="N2048" s="788"/>
      <c r="O2048" s="716" t="s">
        <v>2177</v>
      </c>
    </row>
    <row r="2049" spans="9:15" ht="13.5" customHeight="1">
      <c r="I2049" s="313" t="s">
        <v>980</v>
      </c>
      <c r="J2049" s="314"/>
      <c r="K2049" s="314">
        <v>22.94</v>
      </c>
      <c r="L2049" s="315">
        <f>6*750</f>
        <v>4500</v>
      </c>
      <c r="M2049" s="314">
        <f>K2049/L2049*1000</f>
        <v>5.097777777777778</v>
      </c>
      <c r="N2049" s="768"/>
      <c r="O2049" s="614" t="s">
        <v>2177</v>
      </c>
    </row>
    <row r="2050" spans="9:15" ht="13.5" customHeight="1">
      <c r="I2050" s="313" t="s">
        <v>923</v>
      </c>
      <c r="J2050" s="314"/>
      <c r="K2050" s="314">
        <f>J2051*0.9</f>
        <v>3.591</v>
      </c>
      <c r="L2050" s="315">
        <v>750</v>
      </c>
      <c r="M2050" s="314">
        <f aca="true" t="shared" si="161" ref="M2050:M2056">K2050/L2050*1000</f>
        <v>4.788</v>
      </c>
      <c r="N2050" s="768"/>
      <c r="O2050" s="555" t="s">
        <v>2455</v>
      </c>
    </row>
    <row r="2051" spans="9:15" ht="13.5" customHeight="1">
      <c r="I2051" s="313" t="s">
        <v>923</v>
      </c>
      <c r="J2051" s="314">
        <v>3.99</v>
      </c>
      <c r="K2051" s="314">
        <f>J2051*0.97</f>
        <v>3.8703000000000003</v>
      </c>
      <c r="L2051" s="315">
        <v>750</v>
      </c>
      <c r="M2051" s="314">
        <f t="shared" si="161"/>
        <v>5.160400000000001</v>
      </c>
      <c r="N2051" s="768"/>
      <c r="O2051" s="555" t="s">
        <v>2455</v>
      </c>
    </row>
    <row r="2052" spans="9:15" ht="13.5" customHeight="1">
      <c r="I2052" s="313" t="s">
        <v>923</v>
      </c>
      <c r="J2052" s="314">
        <v>3.49</v>
      </c>
      <c r="K2052" s="314">
        <f>J2052*0.97</f>
        <v>3.3853</v>
      </c>
      <c r="L2052" s="315">
        <v>750</v>
      </c>
      <c r="M2052" s="314">
        <f t="shared" si="161"/>
        <v>4.513733333333333</v>
      </c>
      <c r="N2052" s="768"/>
      <c r="O2052" s="555" t="s">
        <v>269</v>
      </c>
    </row>
    <row r="2053" spans="9:15" ht="13.5" customHeight="1">
      <c r="I2053" s="313" t="s">
        <v>3033</v>
      </c>
      <c r="J2053" s="314">
        <v>4.99</v>
      </c>
      <c r="K2053" s="314">
        <f>J2053*0.9</f>
        <v>4.4910000000000005</v>
      </c>
      <c r="L2053" s="315">
        <v>750</v>
      </c>
      <c r="M2053" s="314">
        <f t="shared" si="161"/>
        <v>5.988000000000001</v>
      </c>
      <c r="N2053" s="962" t="s">
        <v>1398</v>
      </c>
      <c r="O2053" s="555" t="s">
        <v>3032</v>
      </c>
    </row>
    <row r="2054" spans="9:15" ht="13.5" customHeight="1">
      <c r="I2054" s="313" t="s">
        <v>3033</v>
      </c>
      <c r="J2054" s="314">
        <v>4.99</v>
      </c>
      <c r="K2054" s="314">
        <f>J2054*0.97</f>
        <v>4.8403</v>
      </c>
      <c r="L2054" s="315">
        <v>750</v>
      </c>
      <c r="M2054" s="314">
        <f>K2054/L2054*1000</f>
        <v>6.453733333333334</v>
      </c>
      <c r="N2054" s="768" t="s">
        <v>2454</v>
      </c>
      <c r="O2054" s="555" t="s">
        <v>3032</v>
      </c>
    </row>
    <row r="2055" spans="9:15" ht="13.5" customHeight="1">
      <c r="I2055" s="313" t="s">
        <v>3033</v>
      </c>
      <c r="J2055" s="314">
        <v>4.49</v>
      </c>
      <c r="K2055" s="314">
        <f>J2055*0.97</f>
        <v>4.3553</v>
      </c>
      <c r="L2055" s="315">
        <v>750</v>
      </c>
      <c r="M2055" s="314">
        <f t="shared" si="161"/>
        <v>5.807066666666666</v>
      </c>
      <c r="N2055" s="768" t="s">
        <v>2454</v>
      </c>
      <c r="O2055" s="555" t="s">
        <v>890</v>
      </c>
    </row>
    <row r="2056" spans="9:15" ht="12.75">
      <c r="I2056" s="59" t="s">
        <v>2017</v>
      </c>
      <c r="J2056" s="5"/>
      <c r="K2056" s="5">
        <v>1.99</v>
      </c>
      <c r="L2056">
        <v>750</v>
      </c>
      <c r="M2056" s="5">
        <f t="shared" si="161"/>
        <v>2.6533333333333333</v>
      </c>
      <c r="N2056" s="39"/>
      <c r="O2056" s="24" t="s">
        <v>2802</v>
      </c>
    </row>
    <row r="2057" ht="12.75">
      <c r="M2057" s="5"/>
    </row>
    <row r="2058" spans="9:13" ht="15.75">
      <c r="I2058" s="52" t="s">
        <v>686</v>
      </c>
      <c r="M2058" s="5"/>
    </row>
    <row r="2059" spans="9:15" ht="12.75">
      <c r="I2059" s="15" t="s">
        <v>3068</v>
      </c>
      <c r="J2059" s="55"/>
      <c r="K2059" s="16">
        <v>1.29</v>
      </c>
      <c r="L2059" s="7">
        <v>500</v>
      </c>
      <c r="M2059" s="129">
        <f>K2059/L2059*1000</f>
        <v>2.58</v>
      </c>
      <c r="N2059" s="108"/>
      <c r="O2059" s="24" t="s">
        <v>43</v>
      </c>
    </row>
    <row r="2060" spans="9:15" ht="12.75">
      <c r="I2060" s="15" t="s">
        <v>1031</v>
      </c>
      <c r="J2060" s="55"/>
      <c r="K2060" s="16">
        <v>1.29</v>
      </c>
      <c r="L2060" s="7">
        <v>500</v>
      </c>
      <c r="M2060" s="129">
        <f>K2060/L2060*1000</f>
        <v>2.58</v>
      </c>
      <c r="N2060" s="108"/>
      <c r="O2060" s="1494" t="s">
        <v>3140</v>
      </c>
    </row>
    <row r="2061" spans="9:15" ht="12.75">
      <c r="I2061" s="147" t="s">
        <v>1031</v>
      </c>
      <c r="J2061" s="162"/>
      <c r="K2061" s="148">
        <v>1.19</v>
      </c>
      <c r="L2061" s="149">
        <v>500</v>
      </c>
      <c r="M2061" s="721">
        <f>K2061/L2061*1000</f>
        <v>2.38</v>
      </c>
      <c r="N2061" s="108"/>
      <c r="O2061" s="24" t="s">
        <v>1030</v>
      </c>
    </row>
    <row r="2062" spans="9:15" ht="12.75">
      <c r="I2062" s="71" t="s">
        <v>1256</v>
      </c>
      <c r="J2062" s="96"/>
      <c r="K2062" s="29">
        <v>0.99</v>
      </c>
      <c r="L2062" s="30">
        <v>500</v>
      </c>
      <c r="M2062" s="116">
        <f>K2062/L2062*1000</f>
        <v>1.98</v>
      </c>
      <c r="N2062" s="132" t="s">
        <v>1362</v>
      </c>
      <c r="O2062" s="24" t="s">
        <v>458</v>
      </c>
    </row>
    <row r="2063" spans="9:15" ht="12.75">
      <c r="I2063" s="71" t="s">
        <v>1256</v>
      </c>
      <c r="J2063" s="96"/>
      <c r="K2063" s="29">
        <v>1.19</v>
      </c>
      <c r="L2063" s="30">
        <v>500</v>
      </c>
      <c r="M2063" s="116">
        <f aca="true" t="shared" si="162" ref="M2063:M2075">K2063/L2063*1000</f>
        <v>2.38</v>
      </c>
      <c r="N2063" s="132"/>
      <c r="O2063" s="24" t="s">
        <v>412</v>
      </c>
    </row>
    <row r="2064" spans="9:15" ht="12.75">
      <c r="I2064" s="15" t="s">
        <v>687</v>
      </c>
      <c r="J2064" s="55"/>
      <c r="K2064" s="16">
        <v>1.19</v>
      </c>
      <c r="L2064" s="7">
        <v>500</v>
      </c>
      <c r="M2064" s="129">
        <f>K2064/L2064*1000</f>
        <v>2.38</v>
      </c>
      <c r="O2064" s="24" t="s">
        <v>1480</v>
      </c>
    </row>
    <row r="2065" spans="9:15" ht="12.75">
      <c r="I2065" s="15" t="s">
        <v>1479</v>
      </c>
      <c r="J2065" s="55"/>
      <c r="K2065" s="16">
        <v>1.19</v>
      </c>
      <c r="L2065" s="7">
        <v>500</v>
      </c>
      <c r="M2065" s="129">
        <f t="shared" si="162"/>
        <v>2.38</v>
      </c>
      <c r="O2065" s="24" t="s">
        <v>1480</v>
      </c>
    </row>
    <row r="2066" spans="9:15" ht="12.75">
      <c r="I2066" s="109" t="s">
        <v>1008</v>
      </c>
      <c r="J2066" s="120">
        <v>4.99</v>
      </c>
      <c r="K2066" s="22">
        <f>J2066*0.9</f>
        <v>4.4910000000000005</v>
      </c>
      <c r="L2066" s="23">
        <v>750</v>
      </c>
      <c r="M2066" s="774">
        <f>K2066/L2066*1000</f>
        <v>5.988000000000001</v>
      </c>
      <c r="N2066" s="423" t="s">
        <v>1398</v>
      </c>
      <c r="O2066" s="24" t="s">
        <v>458</v>
      </c>
    </row>
    <row r="2067" spans="9:15" ht="12.75">
      <c r="I2067" s="109" t="s">
        <v>1008</v>
      </c>
      <c r="J2067" s="120">
        <v>4.99</v>
      </c>
      <c r="K2067" s="22">
        <f>J2067*0.97</f>
        <v>4.8403</v>
      </c>
      <c r="L2067" s="23">
        <v>750</v>
      </c>
      <c r="M2067" s="774">
        <f t="shared" si="162"/>
        <v>6.453733333333334</v>
      </c>
      <c r="N2067" s="23"/>
      <c r="O2067" s="24" t="s">
        <v>778</v>
      </c>
    </row>
    <row r="2068" spans="2:15" ht="12.75">
      <c r="B2068" s="195" t="s">
        <v>3140</v>
      </c>
      <c r="I2068" s="97" t="s">
        <v>2992</v>
      </c>
      <c r="J2068" s="61"/>
      <c r="K2068" s="41">
        <v>10.91</v>
      </c>
      <c r="L2068" s="42">
        <v>2000</v>
      </c>
      <c r="M2068" s="58">
        <f>K2068/L2068*1000</f>
        <v>5.455</v>
      </c>
      <c r="O2068" s="448" t="s">
        <v>2988</v>
      </c>
    </row>
    <row r="2069" spans="9:15" ht="12.75">
      <c r="I2069" s="97" t="s">
        <v>2992</v>
      </c>
      <c r="J2069" s="61"/>
      <c r="K2069" s="41">
        <v>2.7</v>
      </c>
      <c r="L2069" s="42">
        <v>500</v>
      </c>
      <c r="M2069" s="58">
        <f>K2069/L2069*1000</f>
        <v>5.4</v>
      </c>
      <c r="O2069" s="448" t="s">
        <v>2988</v>
      </c>
    </row>
    <row r="2070" spans="9:15" ht="12.75">
      <c r="I2070" s="40" t="s">
        <v>372</v>
      </c>
      <c r="J2070" s="61"/>
      <c r="K2070" s="32">
        <v>2.95</v>
      </c>
      <c r="L2070" s="33">
        <v>500</v>
      </c>
      <c r="M2070" s="32">
        <f>K2070/L2070*1000</f>
        <v>5.9</v>
      </c>
      <c r="O2070" s="1494" t="s">
        <v>3140</v>
      </c>
    </row>
    <row r="2071" spans="9:15" ht="12.75">
      <c r="I2071" s="28" t="s">
        <v>372</v>
      </c>
      <c r="J2071" s="96"/>
      <c r="K2071" s="29">
        <v>2.85</v>
      </c>
      <c r="L2071" s="30">
        <v>500</v>
      </c>
      <c r="M2071" s="29">
        <f t="shared" si="162"/>
        <v>5.7</v>
      </c>
      <c r="O2071" s="448" t="s">
        <v>2451</v>
      </c>
    </row>
    <row r="2072" spans="9:15" ht="12.75">
      <c r="I2072" s="40" t="s">
        <v>2043</v>
      </c>
      <c r="J2072" s="61"/>
      <c r="K2072" s="5">
        <v>2.99</v>
      </c>
      <c r="L2072">
        <v>500</v>
      </c>
      <c r="M2072" s="58">
        <f>K2072/L2072*1000</f>
        <v>5.98</v>
      </c>
      <c r="O2072" s="716" t="s">
        <v>2402</v>
      </c>
    </row>
    <row r="2073" spans="9:15" ht="12.75">
      <c r="I2073" s="17" t="s">
        <v>688</v>
      </c>
      <c r="J2073" s="160"/>
      <c r="K2073" s="18">
        <v>2.49</v>
      </c>
      <c r="L2073" s="19">
        <v>500</v>
      </c>
      <c r="M2073" s="653">
        <f t="shared" si="162"/>
        <v>4.98</v>
      </c>
      <c r="O2073" s="24" t="s">
        <v>1669</v>
      </c>
    </row>
    <row r="2074" spans="9:15" ht="12.75">
      <c r="I2074" s="109" t="s">
        <v>1176</v>
      </c>
      <c r="J2074" s="120"/>
      <c r="K2074" s="22">
        <f>3.99*0.75</f>
        <v>2.9925</v>
      </c>
      <c r="L2074" s="23">
        <v>500</v>
      </c>
      <c r="M2074" s="22">
        <f t="shared" si="162"/>
        <v>5.985</v>
      </c>
      <c r="N2074" s="423" t="s">
        <v>626</v>
      </c>
      <c r="O2074" s="24" t="s">
        <v>2468</v>
      </c>
    </row>
    <row r="2075" spans="9:15" ht="12.75">
      <c r="I2075" s="399" t="s">
        <v>393</v>
      </c>
      <c r="J2075" s="439"/>
      <c r="K2075" s="400">
        <v>3.99</v>
      </c>
      <c r="L2075" s="395">
        <v>500</v>
      </c>
      <c r="M2075" s="400">
        <f t="shared" si="162"/>
        <v>7.980000000000001</v>
      </c>
      <c r="O2075" s="716" t="s">
        <v>1094</v>
      </c>
    </row>
    <row r="2076" ht="12.75">
      <c r="M2076" s="5"/>
    </row>
    <row r="2077" ht="12.75">
      <c r="M2077" s="5"/>
    </row>
    <row r="2078" spans="9:15" ht="15.75">
      <c r="I2078" s="89" t="s">
        <v>3034</v>
      </c>
      <c r="J2078" s="679" t="s">
        <v>1680</v>
      </c>
      <c r="K2078" s="16"/>
      <c r="L2078" s="51" t="s">
        <v>2598</v>
      </c>
      <c r="M2078" s="262" t="s">
        <v>904</v>
      </c>
      <c r="N2078" s="7"/>
      <c r="O2078" s="51"/>
    </row>
    <row r="2079" spans="2:15" ht="12.75">
      <c r="B2079" s="195">
        <v>0</v>
      </c>
      <c r="C2079" s="195">
        <v>6</v>
      </c>
      <c r="D2079" s="195">
        <v>0</v>
      </c>
      <c r="F2079" s="198">
        <v>109</v>
      </c>
      <c r="G2079" s="195">
        <f>B2079/F2079*1000</f>
        <v>0</v>
      </c>
      <c r="H2079" s="1213">
        <f>M2079/F2079*100000</f>
        <v>825.6880733944954</v>
      </c>
      <c r="I2079" s="15" t="s">
        <v>3135</v>
      </c>
      <c r="J2079" s="274">
        <v>31</v>
      </c>
      <c r="K2079" s="16">
        <v>0.45</v>
      </c>
      <c r="L2079" s="7">
        <v>0.5</v>
      </c>
      <c r="M2079" s="16">
        <f>K2079/L2079</f>
        <v>0.9</v>
      </c>
      <c r="N2079" s="7"/>
      <c r="O2079" s="1467" t="s">
        <v>3154</v>
      </c>
    </row>
    <row r="2080" spans="2:16" ht="12.75">
      <c r="B2080" s="195">
        <v>0</v>
      </c>
      <c r="C2080" s="195">
        <v>6</v>
      </c>
      <c r="D2080" s="195">
        <v>0</v>
      </c>
      <c r="F2080" s="198">
        <v>109</v>
      </c>
      <c r="G2080" s="195">
        <f>B2080/F2080*1000</f>
        <v>0</v>
      </c>
      <c r="H2080" s="1213">
        <f>M2080/F2080*100000</f>
        <v>825.6880733944954</v>
      </c>
      <c r="I2080" s="15" t="s">
        <v>2532</v>
      </c>
      <c r="J2080" s="274">
        <v>31</v>
      </c>
      <c r="K2080" s="16">
        <v>0.45</v>
      </c>
      <c r="L2080" s="7">
        <v>0.5</v>
      </c>
      <c r="M2080" s="16">
        <f>K2080/L2080</f>
        <v>0.9</v>
      </c>
      <c r="N2080" s="7"/>
      <c r="O2080" s="1466" t="s">
        <v>1204</v>
      </c>
      <c r="P2080" s="1465"/>
    </row>
    <row r="2081" spans="2:16" ht="12.75">
      <c r="B2081" s="195">
        <v>0</v>
      </c>
      <c r="C2081" s="195">
        <v>6</v>
      </c>
      <c r="D2081" s="195">
        <v>0</v>
      </c>
      <c r="F2081" s="198">
        <v>109</v>
      </c>
      <c r="G2081" s="195">
        <f aca="true" t="shared" si="163" ref="G2081:G2086">B2081/F2081*1000</f>
        <v>0</v>
      </c>
      <c r="H2081" s="1213">
        <f>M2081/F2081*100000</f>
        <v>715.5963302752294</v>
      </c>
      <c r="I2081" s="1468" t="s">
        <v>2532</v>
      </c>
      <c r="J2081" s="1469">
        <v>31</v>
      </c>
      <c r="K2081" s="1470">
        <v>0.39</v>
      </c>
      <c r="L2081" s="1471">
        <v>0.5</v>
      </c>
      <c r="M2081" s="1470">
        <f aca="true" t="shared" si="164" ref="M2081:M2087">K2081/L2081</f>
        <v>0.78</v>
      </c>
      <c r="N2081" s="7"/>
      <c r="O2081" s="1306" t="s">
        <v>1204</v>
      </c>
      <c r="P2081" s="1465"/>
    </row>
    <row r="2082" spans="2:15" ht="12.75">
      <c r="B2082" s="195">
        <v>0</v>
      </c>
      <c r="C2082" s="195">
        <v>4.9</v>
      </c>
      <c r="D2082" s="195">
        <v>0</v>
      </c>
      <c r="F2082" s="198">
        <v>96</v>
      </c>
      <c r="G2082" s="195">
        <f t="shared" si="163"/>
        <v>0</v>
      </c>
      <c r="I2082" s="6" t="s">
        <v>226</v>
      </c>
      <c r="J2082" s="274">
        <v>34</v>
      </c>
      <c r="K2082" s="16">
        <v>0.43</v>
      </c>
      <c r="L2082" s="7">
        <v>1</v>
      </c>
      <c r="M2082" s="16">
        <f>K2082/L2082</f>
        <v>0.43</v>
      </c>
      <c r="N2082" s="7"/>
      <c r="O2082" s="1306" t="s">
        <v>2514</v>
      </c>
    </row>
    <row r="2083" spans="2:15" ht="12.75">
      <c r="B2083" s="195">
        <v>0</v>
      </c>
      <c r="C2083" s="195">
        <v>4.9</v>
      </c>
      <c r="D2083" s="195">
        <v>0</v>
      </c>
      <c r="F2083" s="198">
        <v>96</v>
      </c>
      <c r="G2083" s="195">
        <f t="shared" si="163"/>
        <v>0</v>
      </c>
      <c r="I2083" s="28" t="s">
        <v>226</v>
      </c>
      <c r="J2083" s="283">
        <f>18.8*2</f>
        <v>37.6</v>
      </c>
      <c r="K2083" s="29">
        <v>0.43</v>
      </c>
      <c r="L2083" s="30">
        <v>1</v>
      </c>
      <c r="M2083" s="29">
        <f t="shared" si="164"/>
        <v>0.43</v>
      </c>
      <c r="N2083" s="7"/>
      <c r="O2083" s="1306" t="s">
        <v>1877</v>
      </c>
    </row>
    <row r="2084" spans="2:15" ht="12.75">
      <c r="B2084" s="195">
        <v>0</v>
      </c>
      <c r="C2084" s="195">
        <v>4.9</v>
      </c>
      <c r="D2084" s="195">
        <v>0</v>
      </c>
      <c r="F2084" s="198">
        <v>96</v>
      </c>
      <c r="G2084" s="195">
        <f t="shared" si="163"/>
        <v>0</v>
      </c>
      <c r="I2084" s="123" t="s">
        <v>226</v>
      </c>
      <c r="J2084" s="1428">
        <f>18.8*2</f>
        <v>37.6</v>
      </c>
      <c r="K2084" s="148">
        <v>0.72</v>
      </c>
      <c r="L2084" s="149">
        <v>1</v>
      </c>
      <c r="M2084" s="148">
        <f t="shared" si="164"/>
        <v>0.72</v>
      </c>
      <c r="N2084" s="7"/>
      <c r="O2084" s="1306" t="s">
        <v>458</v>
      </c>
    </row>
    <row r="2085" spans="2:15" ht="12.75">
      <c r="B2085" s="195">
        <v>0</v>
      </c>
      <c r="C2085" s="195">
        <v>6</v>
      </c>
      <c r="D2085" s="195">
        <v>0</v>
      </c>
      <c r="F2085" s="198">
        <v>109</v>
      </c>
      <c r="G2085" s="195">
        <f t="shared" si="163"/>
        <v>0</v>
      </c>
      <c r="I2085" s="6" t="s">
        <v>227</v>
      </c>
      <c r="J2085" s="274">
        <f>18.9/L2085</f>
        <v>37.8</v>
      </c>
      <c r="K2085" s="16">
        <v>0.43</v>
      </c>
      <c r="L2085" s="7">
        <v>0.5</v>
      </c>
      <c r="M2085" s="16">
        <f t="shared" si="164"/>
        <v>0.86</v>
      </c>
      <c r="N2085" s="7"/>
      <c r="O2085" s="1426" t="s">
        <v>1424</v>
      </c>
    </row>
    <row r="2086" spans="2:15" ht="12.75">
      <c r="B2086" s="195">
        <v>0</v>
      </c>
      <c r="C2086" s="195">
        <v>6</v>
      </c>
      <c r="D2086" s="195">
        <v>0</v>
      </c>
      <c r="F2086" s="198">
        <v>109</v>
      </c>
      <c r="G2086" s="195">
        <f t="shared" si="163"/>
        <v>0</v>
      </c>
      <c r="I2086" s="28" t="s">
        <v>227</v>
      </c>
      <c r="J2086" s="283">
        <f>18.9/L2086</f>
        <v>37.8</v>
      </c>
      <c r="K2086" s="29">
        <v>0.39</v>
      </c>
      <c r="L2086" s="30">
        <v>0.5</v>
      </c>
      <c r="M2086" s="29">
        <f t="shared" si="164"/>
        <v>0.78</v>
      </c>
      <c r="N2086" s="7"/>
      <c r="O2086" s="1305" t="s">
        <v>458</v>
      </c>
    </row>
    <row r="2087" spans="9:15" ht="12.75">
      <c r="I2087" s="147" t="s">
        <v>3054</v>
      </c>
      <c r="J2087" s="778">
        <f>18.9/L2087</f>
        <v>37.8</v>
      </c>
      <c r="K2087" s="148">
        <v>0.41</v>
      </c>
      <c r="L2087" s="149">
        <v>0.5</v>
      </c>
      <c r="M2087" s="148">
        <f t="shared" si="164"/>
        <v>0.82</v>
      </c>
      <c r="N2087" s="7"/>
      <c r="O2087" s="251" t="s">
        <v>337</v>
      </c>
    </row>
    <row r="2088" spans="9:15" ht="12.75">
      <c r="I2088" s="147" t="s">
        <v>3054</v>
      </c>
      <c r="J2088" s="778">
        <f>18.9/L2088</f>
        <v>37.8</v>
      </c>
      <c r="K2088" s="148">
        <v>0.39</v>
      </c>
      <c r="L2088" s="149">
        <v>0.5</v>
      </c>
      <c r="M2088" s="148">
        <f aca="true" t="shared" si="165" ref="M2088:M2096">K2088/L2088</f>
        <v>0.78</v>
      </c>
      <c r="N2088" s="7"/>
      <c r="O2088" s="251" t="s">
        <v>2670</v>
      </c>
    </row>
    <row r="2089" spans="9:15" ht="12.75">
      <c r="I2089" s="147" t="s">
        <v>90</v>
      </c>
      <c r="J2089" s="684"/>
      <c r="K2089" s="148">
        <v>0.43</v>
      </c>
      <c r="L2089" s="149">
        <v>0.5</v>
      </c>
      <c r="M2089" s="148">
        <f t="shared" si="165"/>
        <v>0.86</v>
      </c>
      <c r="N2089" s="7"/>
      <c r="O2089" s="24" t="s">
        <v>2131</v>
      </c>
    </row>
    <row r="2090" spans="9:15" ht="12.75">
      <c r="I2090" s="147" t="s">
        <v>90</v>
      </c>
      <c r="J2090" s="684"/>
      <c r="K2090" s="721">
        <v>0.39</v>
      </c>
      <c r="L2090" s="680">
        <v>0.5</v>
      </c>
      <c r="M2090" s="721">
        <f t="shared" si="165"/>
        <v>0.78</v>
      </c>
      <c r="N2090" s="7"/>
      <c r="O2090" s="24" t="s">
        <v>92</v>
      </c>
    </row>
    <row r="2091" spans="9:15" ht="12.75">
      <c r="I2091" s="6" t="s">
        <v>1476</v>
      </c>
      <c r="J2091" s="274">
        <f>14.6/L2091</f>
        <v>44.24242424242424</v>
      </c>
      <c r="K2091" s="16">
        <v>0.26</v>
      </c>
      <c r="L2091" s="7">
        <v>0.33</v>
      </c>
      <c r="M2091" s="16">
        <f>K2091/L2091</f>
        <v>0.7878787878787878</v>
      </c>
      <c r="N2091" s="7"/>
      <c r="O2091" s="251" t="s">
        <v>289</v>
      </c>
    </row>
    <row r="2092" spans="9:15" ht="12.75">
      <c r="I2092" s="37" t="s">
        <v>1664</v>
      </c>
      <c r="J2092" s="55"/>
      <c r="K2092" s="16">
        <f>0.75*0.72</f>
        <v>0.54</v>
      </c>
      <c r="L2092" s="7">
        <v>0.5</v>
      </c>
      <c r="M2092" s="16">
        <f t="shared" si="165"/>
        <v>1.08</v>
      </c>
      <c r="N2092" s="39" t="s">
        <v>1362</v>
      </c>
      <c r="O2092" s="24" t="s">
        <v>289</v>
      </c>
    </row>
    <row r="2093" spans="9:15" ht="12.75">
      <c r="I2093" s="37" t="s">
        <v>1664</v>
      </c>
      <c r="J2093" s="55"/>
      <c r="K2093" s="25">
        <v>0.72</v>
      </c>
      <c r="L2093" s="7">
        <v>0.5</v>
      </c>
      <c r="M2093" s="16">
        <f t="shared" si="165"/>
        <v>1.44</v>
      </c>
      <c r="O2093" s="24" t="s">
        <v>289</v>
      </c>
    </row>
    <row r="2094" spans="9:15" ht="12.75">
      <c r="I2094" s="37" t="s">
        <v>1876</v>
      </c>
      <c r="J2094" s="55"/>
      <c r="K2094" s="16">
        <f>0.75*0.71</f>
        <v>0.5325</v>
      </c>
      <c r="L2094" s="7">
        <v>0.5</v>
      </c>
      <c r="M2094" s="16">
        <f t="shared" si="165"/>
        <v>1.065</v>
      </c>
      <c r="N2094" s="39" t="s">
        <v>1362</v>
      </c>
      <c r="O2094" s="24" t="s">
        <v>289</v>
      </c>
    </row>
    <row r="2095" spans="5:15" ht="12.75">
      <c r="E2095" s="195"/>
      <c r="F2095" s="195"/>
      <c r="I2095" s="37" t="s">
        <v>1876</v>
      </c>
      <c r="J2095" s="55"/>
      <c r="K2095" s="25">
        <v>0.71</v>
      </c>
      <c r="L2095" s="7">
        <v>0.5</v>
      </c>
      <c r="M2095" s="16">
        <f t="shared" si="165"/>
        <v>1.42</v>
      </c>
      <c r="O2095" s="24" t="s">
        <v>289</v>
      </c>
    </row>
    <row r="2096" spans="2:15" s="859" customFormat="1" ht="11.25">
      <c r="B2096" s="853"/>
      <c r="C2096" s="853"/>
      <c r="D2096" s="853"/>
      <c r="E2096" s="853"/>
      <c r="F2096" s="853"/>
      <c r="G2096" s="853"/>
      <c r="H2096" s="853"/>
      <c r="I2096" s="1184" t="s">
        <v>1981</v>
      </c>
      <c r="J2096" s="1302">
        <v>1.49</v>
      </c>
      <c r="K2096" s="1303">
        <f>J2096*0.97</f>
        <v>1.4453</v>
      </c>
      <c r="L2096" s="859">
        <v>0.5</v>
      </c>
      <c r="M2096" s="858">
        <f t="shared" si="165"/>
        <v>2.8906</v>
      </c>
      <c r="N2096" s="905"/>
      <c r="O2096" s="862" t="s">
        <v>92</v>
      </c>
    </row>
    <row r="2097" spans="2:15" s="470" customFormat="1" ht="12.75">
      <c r="B2097" s="441"/>
      <c r="C2097" s="195"/>
      <c r="D2097" s="195"/>
      <c r="E2097" s="195"/>
      <c r="F2097" s="195"/>
      <c r="G2097" s="195"/>
      <c r="H2097" s="195"/>
      <c r="I2097" s="28" t="s">
        <v>831</v>
      </c>
      <c r="J2097" s="96">
        <v>0.99</v>
      </c>
      <c r="K2097" s="29">
        <f>J2097*0.97</f>
        <v>0.9602999999999999</v>
      </c>
      <c r="L2097" s="30">
        <v>0.33</v>
      </c>
      <c r="M2097" s="29">
        <f aca="true" t="shared" si="166" ref="M2097:M2104">K2097/L2097</f>
        <v>2.9099999999999997</v>
      </c>
      <c r="N2097" s="763"/>
      <c r="O2097" s="448" t="s">
        <v>2174</v>
      </c>
    </row>
    <row r="2098" spans="2:15" ht="12.75">
      <c r="B2098" s="356"/>
      <c r="E2098" s="195"/>
      <c r="F2098" s="195"/>
      <c r="H2098" s="356"/>
      <c r="I2098" s="432" t="s">
        <v>2048</v>
      </c>
      <c r="J2098" s="488" t="s">
        <v>575</v>
      </c>
      <c r="K2098" s="626">
        <v>7.79</v>
      </c>
      <c r="L2098" s="768">
        <v>5</v>
      </c>
      <c r="M2098" s="314">
        <f t="shared" si="166"/>
        <v>1.558</v>
      </c>
      <c r="N2098" s="315"/>
      <c r="O2098" s="24" t="s">
        <v>1663</v>
      </c>
    </row>
    <row r="2099" spans="2:15" s="470" customFormat="1" ht="12.75">
      <c r="B2099" s="441"/>
      <c r="C2099" s="195"/>
      <c r="D2099" s="195"/>
      <c r="E2099" s="195"/>
      <c r="F2099" s="195"/>
      <c r="G2099" s="195"/>
      <c r="H2099" s="195"/>
      <c r="I2099" s="265" t="s">
        <v>1879</v>
      </c>
      <c r="J2099" s="120">
        <v>1.19</v>
      </c>
      <c r="K2099" s="774">
        <f>J2099*0.99</f>
        <v>1.1781</v>
      </c>
      <c r="L2099" s="23">
        <v>0.5</v>
      </c>
      <c r="M2099" s="22">
        <f t="shared" si="166"/>
        <v>2.3562</v>
      </c>
      <c r="N2099" s="848" t="s">
        <v>2879</v>
      </c>
      <c r="O2099" s="101" t="s">
        <v>2120</v>
      </c>
    </row>
    <row r="2100" spans="2:15" s="470" customFormat="1" ht="12.75">
      <c r="B2100" s="441"/>
      <c r="C2100" s="195"/>
      <c r="D2100" s="195"/>
      <c r="E2100" s="195"/>
      <c r="F2100" s="195"/>
      <c r="G2100" s="195"/>
      <c r="H2100" s="195"/>
      <c r="I2100" s="769" t="s">
        <v>1880</v>
      </c>
      <c r="J2100" s="327" t="s">
        <v>575</v>
      </c>
      <c r="K2100" s="605">
        <v>1.49</v>
      </c>
      <c r="L2100" s="470">
        <v>0.5</v>
      </c>
      <c r="M2100" s="605">
        <f>K2100/L2100</f>
        <v>2.98</v>
      </c>
      <c r="N2100" s="443"/>
      <c r="O2100" s="469" t="s">
        <v>1586</v>
      </c>
    </row>
    <row r="2101" spans="2:15" s="470" customFormat="1" ht="12.75">
      <c r="B2101" s="441"/>
      <c r="C2101" s="195"/>
      <c r="D2101" s="195"/>
      <c r="E2101" s="195"/>
      <c r="F2101" s="195"/>
      <c r="G2101" s="195"/>
      <c r="H2101" s="195"/>
      <c r="I2101" s="432" t="s">
        <v>1423</v>
      </c>
      <c r="J2101" s="488" t="s">
        <v>575</v>
      </c>
      <c r="K2101" s="314">
        <v>1.39</v>
      </c>
      <c r="L2101" s="315">
        <v>0.5</v>
      </c>
      <c r="M2101" s="314">
        <f>K2101/L2101</f>
        <v>2.78</v>
      </c>
      <c r="N2101" s="443"/>
      <c r="O2101" s="469" t="s">
        <v>2058</v>
      </c>
    </row>
    <row r="2102" spans="2:15" s="470" customFormat="1" ht="12.75">
      <c r="B2102" s="441"/>
      <c r="C2102" s="195"/>
      <c r="D2102" s="195"/>
      <c r="E2102" s="195"/>
      <c r="F2102" s="195"/>
      <c r="G2102" s="195"/>
      <c r="H2102" s="195"/>
      <c r="I2102" s="432" t="s">
        <v>1423</v>
      </c>
      <c r="J2102" s="488" t="s">
        <v>575</v>
      </c>
      <c r="K2102" s="314">
        <v>1.19</v>
      </c>
      <c r="L2102" s="315">
        <v>0.5</v>
      </c>
      <c r="M2102" s="314">
        <f t="shared" si="166"/>
        <v>2.38</v>
      </c>
      <c r="N2102" s="443"/>
      <c r="O2102" s="469" t="s">
        <v>458</v>
      </c>
    </row>
    <row r="2103" spans="5:15" ht="12.75">
      <c r="E2103" s="195"/>
      <c r="F2103" s="195"/>
      <c r="I2103" s="37" t="s">
        <v>2916</v>
      </c>
      <c r="J2103" s="122" t="s">
        <v>2437</v>
      </c>
      <c r="K2103" s="25">
        <v>1.79</v>
      </c>
      <c r="L2103" s="33">
        <v>0.5</v>
      </c>
      <c r="M2103" s="32">
        <f t="shared" si="166"/>
        <v>3.58</v>
      </c>
      <c r="O2103" s="24" t="s">
        <v>92</v>
      </c>
    </row>
    <row r="2104" spans="5:15" ht="12.75">
      <c r="E2104" s="195"/>
      <c r="F2104" s="195"/>
      <c r="I2104" s="37" t="s">
        <v>244</v>
      </c>
      <c r="J2104" s="38"/>
      <c r="K2104" s="25">
        <v>1.39</v>
      </c>
      <c r="L2104" s="33">
        <v>0.33</v>
      </c>
      <c r="M2104" s="32">
        <f t="shared" si="166"/>
        <v>4.212121212121212</v>
      </c>
      <c r="N2104" s="7"/>
      <c r="O2104" s="24" t="s">
        <v>92</v>
      </c>
    </row>
    <row r="2105" spans="9:15" ht="12.75">
      <c r="I2105" s="15" t="s">
        <v>1975</v>
      </c>
      <c r="J2105" s="55"/>
      <c r="K2105" s="16">
        <v>0.43</v>
      </c>
      <c r="L2105" s="7">
        <v>0.5</v>
      </c>
      <c r="M2105" s="16">
        <f aca="true" t="shared" si="167" ref="M2105:M2113">K2105/L2105</f>
        <v>0.86</v>
      </c>
      <c r="O2105" s="24" t="s">
        <v>1646</v>
      </c>
    </row>
    <row r="2106" spans="9:15" ht="12.75">
      <c r="I2106" s="6" t="s">
        <v>2700</v>
      </c>
      <c r="J2106" s="55"/>
      <c r="K2106" s="16">
        <v>0.49</v>
      </c>
      <c r="L2106" s="7">
        <v>0.5</v>
      </c>
      <c r="M2106" s="16">
        <f t="shared" si="167"/>
        <v>0.98</v>
      </c>
      <c r="O2106" s="24" t="s">
        <v>1088</v>
      </c>
    </row>
    <row r="2107" spans="9:15" ht="12.75">
      <c r="I2107" s="37" t="s">
        <v>2181</v>
      </c>
      <c r="J2107" s="55"/>
      <c r="K2107" s="16">
        <v>0.69</v>
      </c>
      <c r="L2107" s="7">
        <v>0.5</v>
      </c>
      <c r="M2107" s="16">
        <f t="shared" si="167"/>
        <v>1.38</v>
      </c>
      <c r="O2107" s="24" t="s">
        <v>1088</v>
      </c>
    </row>
    <row r="2108" spans="9:15" ht="12.75">
      <c r="I2108" s="43" t="s">
        <v>15</v>
      </c>
      <c r="J2108" s="55"/>
      <c r="K2108" s="16">
        <v>0.72</v>
      </c>
      <c r="L2108" s="7">
        <v>0.5</v>
      </c>
      <c r="M2108" s="16">
        <f t="shared" si="167"/>
        <v>1.44</v>
      </c>
      <c r="N2108" s="7"/>
      <c r="O2108" s="24" t="s">
        <v>946</v>
      </c>
    </row>
    <row r="2109" spans="9:15" ht="12.75">
      <c r="I2109" s="6" t="s">
        <v>16</v>
      </c>
      <c r="J2109" s="55"/>
      <c r="K2109" s="16">
        <v>0.69</v>
      </c>
      <c r="L2109" s="7">
        <v>0.5</v>
      </c>
      <c r="M2109" s="16">
        <f t="shared" si="167"/>
        <v>1.38</v>
      </c>
      <c r="N2109" s="7"/>
      <c r="O2109" s="24" t="s">
        <v>946</v>
      </c>
    </row>
    <row r="2110" spans="9:15" ht="12.75">
      <c r="I2110" s="6" t="s">
        <v>2302</v>
      </c>
      <c r="J2110" s="55"/>
      <c r="K2110" s="16">
        <v>0.57</v>
      </c>
      <c r="L2110" s="7">
        <v>0.5</v>
      </c>
      <c r="M2110" s="16">
        <f t="shared" si="167"/>
        <v>1.14</v>
      </c>
      <c r="N2110" s="7"/>
      <c r="O2110" s="24" t="s">
        <v>946</v>
      </c>
    </row>
    <row r="2111" spans="9:15" ht="12.75">
      <c r="I2111" s="6" t="s">
        <v>2465</v>
      </c>
      <c r="J2111" s="55"/>
      <c r="K2111" s="16">
        <v>0.69</v>
      </c>
      <c r="L2111" s="7">
        <v>0.5</v>
      </c>
      <c r="M2111" s="16">
        <f t="shared" si="167"/>
        <v>1.38</v>
      </c>
      <c r="O2111" s="24" t="s">
        <v>946</v>
      </c>
    </row>
    <row r="2112" spans="9:15" ht="12.75">
      <c r="I2112" s="6" t="s">
        <v>703</v>
      </c>
      <c r="J2112" s="55"/>
      <c r="K2112" s="16">
        <v>0.71</v>
      </c>
      <c r="L2112" s="7">
        <v>0.5</v>
      </c>
      <c r="M2112" s="16">
        <f t="shared" si="167"/>
        <v>1.42</v>
      </c>
      <c r="O2112" s="24" t="s">
        <v>946</v>
      </c>
    </row>
    <row r="2113" spans="9:15" ht="12.75">
      <c r="I2113" s="6" t="s">
        <v>1526</v>
      </c>
      <c r="J2113" s="55"/>
      <c r="K2113" s="16">
        <v>0.72</v>
      </c>
      <c r="L2113" s="7">
        <v>0.5</v>
      </c>
      <c r="M2113" s="16">
        <f t="shared" si="167"/>
        <v>1.44</v>
      </c>
      <c r="O2113" s="24" t="s">
        <v>946</v>
      </c>
    </row>
    <row r="2114" spans="9:13" ht="12.75">
      <c r="I2114" s="6"/>
      <c r="J2114" s="55"/>
      <c r="K2114" s="16"/>
      <c r="L2114" s="7"/>
      <c r="M2114" s="16"/>
    </row>
    <row r="2115" ht="12.75">
      <c r="M2115" s="5"/>
    </row>
    <row r="2116" spans="9:13" ht="15.75">
      <c r="I2116" s="91" t="s">
        <v>2803</v>
      </c>
      <c r="J2116" s="151"/>
      <c r="M2116" s="5" t="s">
        <v>918</v>
      </c>
    </row>
    <row r="2117" spans="2:16" s="447" customFormat="1" ht="12.75">
      <c r="B2117" s="195"/>
      <c r="C2117" s="195"/>
      <c r="D2117" s="195"/>
      <c r="E2117" s="732"/>
      <c r="F2117" s="198"/>
      <c r="G2117" s="195"/>
      <c r="H2117" s="1213"/>
      <c r="I2117" s="109" t="s">
        <v>2775</v>
      </c>
      <c r="J2117" s="774"/>
      <c r="K2117" s="774">
        <v>1.75</v>
      </c>
      <c r="L2117" s="922">
        <v>500</v>
      </c>
      <c r="M2117" s="774">
        <f aca="true" t="shared" si="168" ref="M2117:M2122">K2117/L2117*1000</f>
        <v>3.5</v>
      </c>
      <c r="N2117" s="327" t="s">
        <v>2697</v>
      </c>
      <c r="O2117" s="669" t="s">
        <v>2455</v>
      </c>
      <c r="P2117" s="607" t="s">
        <v>638</v>
      </c>
    </row>
    <row r="2118" spans="2:15" s="447" customFormat="1" ht="12.75">
      <c r="B2118" s="195"/>
      <c r="C2118" s="195"/>
      <c r="D2118" s="195"/>
      <c r="E2118" s="732"/>
      <c r="F2118" s="198"/>
      <c r="G2118" s="195"/>
      <c r="H2118" s="1213"/>
      <c r="I2118" s="60" t="s">
        <v>2775</v>
      </c>
      <c r="J2118" s="103"/>
      <c r="K2118" s="321">
        <v>2.19</v>
      </c>
      <c r="L2118" s="447">
        <v>500</v>
      </c>
      <c r="M2118" s="787">
        <f t="shared" si="168"/>
        <v>4.38</v>
      </c>
      <c r="N2118" s="798"/>
      <c r="O2118" s="722" t="s">
        <v>2455</v>
      </c>
    </row>
    <row r="2119" spans="2:15" s="447" customFormat="1" ht="12.75">
      <c r="B2119" s="195">
        <v>0</v>
      </c>
      <c r="C2119" s="195">
        <v>100</v>
      </c>
      <c r="D2119" s="195">
        <v>0</v>
      </c>
      <c r="E2119" s="732"/>
      <c r="F2119" s="198">
        <v>3700</v>
      </c>
      <c r="G2119" s="195">
        <v>0</v>
      </c>
      <c r="H2119" s="1213">
        <f>M2119/F2119*100000</f>
        <v>107.83783783783787</v>
      </c>
      <c r="I2119" s="635" t="s">
        <v>2824</v>
      </c>
      <c r="J2119" s="103"/>
      <c r="K2119" s="321">
        <v>3.99</v>
      </c>
      <c r="L2119" s="447">
        <v>1000</v>
      </c>
      <c r="M2119" s="787">
        <f t="shared" si="168"/>
        <v>3.9900000000000007</v>
      </c>
      <c r="N2119" s="798"/>
      <c r="O2119" s="669" t="s">
        <v>2179</v>
      </c>
    </row>
    <row r="2120" spans="2:15" s="447" customFormat="1" ht="12.75">
      <c r="B2120" s="195">
        <v>0</v>
      </c>
      <c r="C2120" s="195">
        <v>100</v>
      </c>
      <c r="D2120" s="195">
        <v>0</v>
      </c>
      <c r="E2120" s="732"/>
      <c r="F2120" s="198">
        <v>3700</v>
      </c>
      <c r="G2120" s="195">
        <v>0</v>
      </c>
      <c r="H2120" s="195"/>
      <c r="I2120" s="718" t="s">
        <v>2498</v>
      </c>
      <c r="J2120" s="321"/>
      <c r="K2120" s="321">
        <v>5.59</v>
      </c>
      <c r="L2120" s="447">
        <v>1000</v>
      </c>
      <c r="M2120" s="787">
        <f t="shared" si="168"/>
        <v>5.59</v>
      </c>
      <c r="N2120" s="798"/>
      <c r="O2120" s="50" t="s">
        <v>354</v>
      </c>
    </row>
    <row r="2121" spans="2:15" s="447" customFormat="1" ht="12.75">
      <c r="B2121" s="195">
        <v>0</v>
      </c>
      <c r="C2121" s="195">
        <v>92</v>
      </c>
      <c r="D2121" s="195">
        <v>0</v>
      </c>
      <c r="E2121" s="732"/>
      <c r="F2121" s="198">
        <v>3404</v>
      </c>
      <c r="G2121" s="195">
        <v>0</v>
      </c>
      <c r="H2121" s="1213">
        <f>M2121/F2121*100000</f>
        <v>116.92126909518214</v>
      </c>
      <c r="I2121" s="432" t="s">
        <v>321</v>
      </c>
      <c r="J2121" s="314"/>
      <c r="K2121" s="314">
        <v>1.99</v>
      </c>
      <c r="L2121" s="315">
        <v>500</v>
      </c>
      <c r="M2121" s="626">
        <f t="shared" si="168"/>
        <v>3.98</v>
      </c>
      <c r="N2121" s="798"/>
      <c r="O2121" s="50" t="s">
        <v>2256</v>
      </c>
    </row>
    <row r="2122" spans="9:15" ht="12.75">
      <c r="I2122" s="432" t="s">
        <v>2219</v>
      </c>
      <c r="J2122" s="314"/>
      <c r="K2122" s="314">
        <v>1.99</v>
      </c>
      <c r="L2122" s="315">
        <v>500</v>
      </c>
      <c r="M2122" s="626">
        <f t="shared" si="168"/>
        <v>3.98</v>
      </c>
      <c r="N2122" s="327"/>
      <c r="O2122" s="448" t="s">
        <v>1458</v>
      </c>
    </row>
    <row r="2123" spans="9:15" ht="12.75">
      <c r="I2123" s="40" t="s">
        <v>2825</v>
      </c>
      <c r="J2123" s="5">
        <v>4.49</v>
      </c>
      <c r="M2123" s="41">
        <f>J2123*0.99</f>
        <v>4.4451</v>
      </c>
      <c r="N2123" s="381"/>
      <c r="O2123" s="716" t="s">
        <v>2670</v>
      </c>
    </row>
    <row r="2124" spans="9:15" ht="12.75">
      <c r="I2124" s="43" t="s">
        <v>1280</v>
      </c>
      <c r="J2124" s="710"/>
      <c r="M2124" s="720">
        <v>5.29</v>
      </c>
      <c r="N2124" s="381"/>
      <c r="O2124" s="716" t="s">
        <v>2670</v>
      </c>
    </row>
    <row r="2125" spans="9:15" ht="12.75">
      <c r="I2125" s="43" t="s">
        <v>113</v>
      </c>
      <c r="J2125" s="773"/>
      <c r="K2125" s="41"/>
      <c r="L2125" s="42"/>
      <c r="M2125" s="41">
        <v>5.6</v>
      </c>
      <c r="N2125" s="381"/>
      <c r="O2125" s="716" t="s">
        <v>1458</v>
      </c>
    </row>
    <row r="2126" spans="2:15" ht="12.75">
      <c r="B2126" s="195">
        <v>0</v>
      </c>
      <c r="C2126" s="195">
        <v>100</v>
      </c>
      <c r="D2126" s="195">
        <v>0</v>
      </c>
      <c r="F2126" s="198">
        <v>3700</v>
      </c>
      <c r="G2126" s="195">
        <v>0</v>
      </c>
      <c r="I2126" s="43" t="s">
        <v>1027</v>
      </c>
      <c r="L2126" s="710"/>
      <c r="M2126" s="5">
        <v>5.59</v>
      </c>
      <c r="N2126" s="381"/>
      <c r="O2126" s="24" t="s">
        <v>1595</v>
      </c>
    </row>
    <row r="2127" spans="9:15" ht="12.75">
      <c r="I2127" s="399" t="s">
        <v>1506</v>
      </c>
      <c r="J2127" s="151"/>
      <c r="K2127" s="5">
        <v>3.39</v>
      </c>
      <c r="L2127">
        <v>500</v>
      </c>
      <c r="M2127" s="5">
        <f aca="true" t="shared" si="169" ref="M2127:M2133">K2127/L2127*1000</f>
        <v>6.78</v>
      </c>
      <c r="O2127" s="24" t="s">
        <v>551</v>
      </c>
    </row>
    <row r="2128" spans="9:15" ht="12.75">
      <c r="I2128" s="313" t="s">
        <v>1687</v>
      </c>
      <c r="J2128" s="404"/>
      <c r="K2128" s="314">
        <v>2.39</v>
      </c>
      <c r="L2128" s="315">
        <v>500</v>
      </c>
      <c r="M2128" s="314">
        <f t="shared" si="169"/>
        <v>4.78</v>
      </c>
      <c r="O2128" s="24" t="s">
        <v>551</v>
      </c>
    </row>
    <row r="2129" spans="9:15" ht="12.75">
      <c r="I2129" s="313" t="s">
        <v>1270</v>
      </c>
      <c r="J2129" s="404"/>
      <c r="K2129" s="314">
        <v>4.99</v>
      </c>
      <c r="L2129" s="315">
        <v>1000</v>
      </c>
      <c r="M2129" s="314">
        <f t="shared" si="169"/>
        <v>4.99</v>
      </c>
      <c r="O2129" s="24" t="s">
        <v>1251</v>
      </c>
    </row>
    <row r="2130" spans="2:15" s="447" customFormat="1" ht="12.75">
      <c r="B2130" s="319"/>
      <c r="C2130" s="319"/>
      <c r="D2130" s="319"/>
      <c r="E2130" s="735"/>
      <c r="F2130" s="483"/>
      <c r="G2130" s="319"/>
      <c r="H2130" s="319"/>
      <c r="I2130" s="352" t="s">
        <v>2673</v>
      </c>
      <c r="J2130" s="406"/>
      <c r="K2130" s="353">
        <v>2.85</v>
      </c>
      <c r="L2130" s="354">
        <v>500</v>
      </c>
      <c r="M2130" s="353">
        <f t="shared" si="169"/>
        <v>5.7</v>
      </c>
      <c r="N2130" s="327"/>
      <c r="O2130" s="775" t="s">
        <v>2986</v>
      </c>
    </row>
    <row r="2131" spans="9:15" ht="12.75">
      <c r="I2131" s="28" t="s">
        <v>871</v>
      </c>
      <c r="J2131" s="96"/>
      <c r="K2131" s="29">
        <v>1.59</v>
      </c>
      <c r="L2131" s="30">
        <v>500</v>
      </c>
      <c r="M2131" s="29">
        <f t="shared" si="169"/>
        <v>3.18</v>
      </c>
      <c r="N2131" s="488" t="s">
        <v>3130</v>
      </c>
      <c r="O2131" s="24" t="s">
        <v>1035</v>
      </c>
    </row>
    <row r="2132" spans="9:15" ht="12.75">
      <c r="I2132" s="209" t="s">
        <v>2239</v>
      </c>
      <c r="J2132" s="61"/>
      <c r="K2132" s="41">
        <v>2.99</v>
      </c>
      <c r="L2132" s="42">
        <v>500</v>
      </c>
      <c r="M2132" s="41">
        <f>K2132/L2132*1000</f>
        <v>5.98</v>
      </c>
      <c r="N2132" s="381"/>
      <c r="O2132" s="716" t="s">
        <v>2054</v>
      </c>
    </row>
    <row r="2133" spans="9:15" ht="12.75">
      <c r="I2133" s="71" t="s">
        <v>1110</v>
      </c>
      <c r="J2133" s="96"/>
      <c r="K2133" s="29">
        <v>2.19</v>
      </c>
      <c r="L2133" s="30">
        <v>500</v>
      </c>
      <c r="M2133" s="29">
        <f t="shared" si="169"/>
        <v>4.38</v>
      </c>
      <c r="N2133" s="381"/>
      <c r="O2133" s="130" t="s">
        <v>1797</v>
      </c>
    </row>
    <row r="2134" spans="9:15" ht="12.75">
      <c r="I2134" s="2"/>
      <c r="M2134" s="5"/>
      <c r="O2134" s="130"/>
    </row>
    <row r="2135" spans="9:13" ht="15.75">
      <c r="I2135" s="248" t="s">
        <v>2294</v>
      </c>
      <c r="M2135" s="5" t="s">
        <v>918</v>
      </c>
    </row>
    <row r="2136" spans="2:15" s="447" customFormat="1" ht="12.75">
      <c r="B2136" s="319"/>
      <c r="C2136" s="319"/>
      <c r="D2136" s="319"/>
      <c r="E2136" s="735"/>
      <c r="F2136" s="483"/>
      <c r="G2136" s="319"/>
      <c r="H2136" s="319"/>
      <c r="I2136" s="482" t="s">
        <v>355</v>
      </c>
      <c r="J2136" s="321"/>
      <c r="K2136" s="321">
        <v>4.79</v>
      </c>
      <c r="L2136" s="447">
        <v>500</v>
      </c>
      <c r="M2136" s="787">
        <f>K2136/L2136*1000</f>
        <v>9.58</v>
      </c>
      <c r="N2136" s="798"/>
      <c r="O2136" s="50" t="s">
        <v>1199</v>
      </c>
    </row>
    <row r="2137" spans="9:15" ht="12" customHeight="1">
      <c r="I2137" s="59" t="s">
        <v>3092</v>
      </c>
      <c r="K2137" s="809">
        <v>2.77</v>
      </c>
      <c r="L2137" s="1308">
        <v>750</v>
      </c>
      <c r="M2137" s="809">
        <f>K2137/L2137*1000</f>
        <v>3.6933333333333334</v>
      </c>
      <c r="N2137" s="1308" t="s">
        <v>1362</v>
      </c>
      <c r="O2137" s="1324" t="s">
        <v>412</v>
      </c>
    </row>
    <row r="2138" spans="9:15" ht="12" customHeight="1">
      <c r="I2138" s="71" t="s">
        <v>3092</v>
      </c>
      <c r="J2138" s="96"/>
      <c r="K2138" s="29">
        <v>2.79</v>
      </c>
      <c r="L2138" s="30">
        <v>750</v>
      </c>
      <c r="M2138" s="29">
        <f>K2138/L2138*1000</f>
        <v>3.72</v>
      </c>
      <c r="N2138" s="33" t="s">
        <v>1362</v>
      </c>
      <c r="O2138" s="448" t="s">
        <v>2670</v>
      </c>
    </row>
    <row r="2139" spans="9:15" ht="12.75">
      <c r="I2139" s="40" t="s">
        <v>363</v>
      </c>
      <c r="M2139" s="5">
        <v>4</v>
      </c>
      <c r="N2139" s="33"/>
      <c r="O2139" s="716" t="s">
        <v>2031</v>
      </c>
    </row>
    <row r="2140" spans="9:15" ht="12.75">
      <c r="I2140" s="43" t="s">
        <v>1082</v>
      </c>
      <c r="M2140" s="5">
        <v>4.65</v>
      </c>
      <c r="N2140" s="94"/>
      <c r="O2140" s="716" t="s">
        <v>2670</v>
      </c>
    </row>
    <row r="2141" spans="9:15" ht="12.75">
      <c r="I2141" s="37" t="s">
        <v>1082</v>
      </c>
      <c r="K2141" s="314">
        <f>3.49</f>
        <v>3.49</v>
      </c>
      <c r="L2141" s="315">
        <v>500</v>
      </c>
      <c r="M2141" s="314">
        <f>K2141/L2141*1000</f>
        <v>6.98</v>
      </c>
      <c r="N2141" s="33"/>
      <c r="O2141" s="24" t="s">
        <v>2537</v>
      </c>
    </row>
    <row r="2142" spans="9:13" ht="12.75">
      <c r="I2142" s="2"/>
      <c r="M2142" s="5"/>
    </row>
    <row r="2143" spans="9:13" ht="15.75">
      <c r="I2143" s="52" t="s">
        <v>1111</v>
      </c>
      <c r="J2143" s="151"/>
      <c r="M2143" s="5"/>
    </row>
    <row r="2144" spans="9:15" ht="12.75">
      <c r="I2144" s="1" t="s">
        <v>2744</v>
      </c>
      <c r="K2144" s="5">
        <v>4.75</v>
      </c>
      <c r="L2144">
        <v>500</v>
      </c>
      <c r="M2144" s="5">
        <f>K2144/L2144*1000</f>
        <v>9.5</v>
      </c>
      <c r="O2144" s="24" t="s">
        <v>2623</v>
      </c>
    </row>
    <row r="2145" spans="9:13" ht="12.75">
      <c r="I2145" s="313" t="s">
        <v>1110</v>
      </c>
      <c r="J2145" s="404"/>
      <c r="K2145" s="314">
        <v>5.49</v>
      </c>
      <c r="L2145" s="315">
        <v>500</v>
      </c>
      <c r="M2145" s="314">
        <f>K2145/L2145*1000</f>
        <v>10.98</v>
      </c>
    </row>
    <row r="2146" spans="9:10" ht="15.75">
      <c r="I2146" s="52" t="s">
        <v>1429</v>
      </c>
      <c r="J2146" s="151"/>
    </row>
    <row r="2147" spans="9:15" ht="12.75">
      <c r="I2147" s="2" t="s">
        <v>1269</v>
      </c>
      <c r="K2147" s="5">
        <v>9.99</v>
      </c>
      <c r="L2147">
        <v>250</v>
      </c>
      <c r="M2147" s="5">
        <f>K2147/L2147*1000</f>
        <v>39.96</v>
      </c>
      <c r="O2147" s="24" t="s">
        <v>1595</v>
      </c>
    </row>
    <row r="2148" spans="9:15" ht="12.75">
      <c r="I2148" s="71" t="s">
        <v>532</v>
      </c>
      <c r="J2148" s="96">
        <v>18.99</v>
      </c>
      <c r="K2148" s="29">
        <f>J2148*0.97</f>
        <v>18.420299999999997</v>
      </c>
      <c r="L2148" s="30">
        <v>500</v>
      </c>
      <c r="M2148" s="29">
        <f aca="true" t="shared" si="170" ref="M2148:M2155">K2148/L2148*1000</f>
        <v>36.840599999999995</v>
      </c>
      <c r="O2148" s="24" t="s">
        <v>2731</v>
      </c>
    </row>
    <row r="2149" spans="9:15" ht="12.75">
      <c r="I2149" s="71" t="s">
        <v>532</v>
      </c>
      <c r="J2149" s="96">
        <v>15.9</v>
      </c>
      <c r="K2149" s="29">
        <f>J2149*0.97</f>
        <v>15.423</v>
      </c>
      <c r="L2149" s="30">
        <v>500</v>
      </c>
      <c r="M2149" s="29">
        <f t="shared" si="170"/>
        <v>30.846</v>
      </c>
      <c r="O2149" s="24" t="s">
        <v>2083</v>
      </c>
    </row>
    <row r="2150" spans="9:15" ht="12.75">
      <c r="I2150" s="71" t="s">
        <v>532</v>
      </c>
      <c r="J2150" s="96">
        <v>8.9</v>
      </c>
      <c r="K2150" s="29">
        <f>J2150*0.97</f>
        <v>8.633000000000001</v>
      </c>
      <c r="L2150" s="30">
        <v>250</v>
      </c>
      <c r="M2150" s="29">
        <f t="shared" si="170"/>
        <v>34.532000000000004</v>
      </c>
      <c r="O2150" s="24" t="s">
        <v>2083</v>
      </c>
    </row>
    <row r="2151" spans="2:15" s="10" customFormat="1" ht="12.75">
      <c r="B2151" s="218"/>
      <c r="C2151" s="218"/>
      <c r="D2151" s="218"/>
      <c r="E2151" s="737"/>
      <c r="F2151" s="219"/>
      <c r="G2151" s="218"/>
      <c r="H2151" s="218"/>
      <c r="I2151" s="300" t="s">
        <v>2162</v>
      </c>
      <c r="J2151" s="713"/>
      <c r="K2151" s="714">
        <v>8.98</v>
      </c>
      <c r="L2151" s="715">
        <v>250</v>
      </c>
      <c r="M2151" s="714">
        <f t="shared" si="170"/>
        <v>35.92</v>
      </c>
      <c r="O2151" s="224" t="s">
        <v>692</v>
      </c>
    </row>
    <row r="2152" spans="9:15" ht="12.75">
      <c r="I2152" s="2" t="s">
        <v>1697</v>
      </c>
      <c r="J2152" s="4">
        <v>8.99</v>
      </c>
      <c r="K2152" s="5">
        <f>J2152*0.97</f>
        <v>8.7203</v>
      </c>
      <c r="L2152">
        <v>250</v>
      </c>
      <c r="M2152" s="5">
        <f t="shared" si="170"/>
        <v>34.8812</v>
      </c>
      <c r="O2152" s="24" t="s">
        <v>2657</v>
      </c>
    </row>
    <row r="2153" spans="9:15" ht="12.75">
      <c r="I2153" s="28" t="s">
        <v>1698</v>
      </c>
      <c r="J2153" s="96">
        <v>9.49</v>
      </c>
      <c r="K2153" s="29">
        <f>J2153*0.97</f>
        <v>9.2053</v>
      </c>
      <c r="L2153" s="30">
        <v>250</v>
      </c>
      <c r="M2153" s="29">
        <f t="shared" si="170"/>
        <v>36.8212</v>
      </c>
      <c r="O2153" s="24" t="s">
        <v>775</v>
      </c>
    </row>
    <row r="2154" spans="9:15" ht="12.75">
      <c r="I2154" s="2" t="s">
        <v>296</v>
      </c>
      <c r="K2154" s="5">
        <v>8.69</v>
      </c>
      <c r="L2154">
        <v>250</v>
      </c>
      <c r="M2154" s="5">
        <f t="shared" si="170"/>
        <v>34.76</v>
      </c>
      <c r="O2154" s="24" t="s">
        <v>1142</v>
      </c>
    </row>
    <row r="2155" spans="2:15" s="10" customFormat="1" ht="12.75">
      <c r="B2155" s="218"/>
      <c r="C2155" s="218"/>
      <c r="D2155" s="218"/>
      <c r="E2155" s="737"/>
      <c r="F2155" s="219"/>
      <c r="G2155" s="218"/>
      <c r="H2155" s="218"/>
      <c r="I2155" s="300" t="s">
        <v>3081</v>
      </c>
      <c r="J2155" s="78"/>
      <c r="K2155" s="9">
        <v>9.76</v>
      </c>
      <c r="L2155" s="10">
        <v>250</v>
      </c>
      <c r="M2155" s="9">
        <f t="shared" si="170"/>
        <v>39.04</v>
      </c>
      <c r="O2155" s="224" t="s">
        <v>2973</v>
      </c>
    </row>
    <row r="2156" spans="9:15" ht="12" customHeight="1">
      <c r="I2156" s="2" t="s">
        <v>2694</v>
      </c>
      <c r="J2156" s="151"/>
      <c r="K2156" s="5">
        <v>9.98</v>
      </c>
      <c r="L2156">
        <v>250</v>
      </c>
      <c r="M2156" s="5">
        <f>K2156/L2156*1000</f>
        <v>39.92</v>
      </c>
      <c r="O2156" s="24" t="s">
        <v>2510</v>
      </c>
    </row>
    <row r="2157" spans="9:15" ht="12.75">
      <c r="I2157" s="2" t="s">
        <v>384</v>
      </c>
      <c r="J2157" s="151"/>
      <c r="K2157" s="5">
        <v>9.79</v>
      </c>
      <c r="L2157">
        <v>250</v>
      </c>
      <c r="M2157" s="5">
        <f>K2157/L2157*1000</f>
        <v>39.16</v>
      </c>
      <c r="O2157" s="24" t="s">
        <v>1352</v>
      </c>
    </row>
    <row r="2158" spans="9:13" ht="12.75">
      <c r="I2158" s="6"/>
      <c r="J2158" s="55"/>
      <c r="L2158" s="7"/>
      <c r="M2158" s="16"/>
    </row>
    <row r="2159" spans="9:13" ht="15.75">
      <c r="I2159" s="52" t="s">
        <v>833</v>
      </c>
      <c r="J2159" s="55"/>
      <c r="L2159" s="7"/>
      <c r="M2159" s="16"/>
    </row>
    <row r="2160" spans="9:15" ht="12.75">
      <c r="I2160" s="31" t="s">
        <v>2494</v>
      </c>
      <c r="J2160" s="66"/>
      <c r="K2160" s="32">
        <v>6.99</v>
      </c>
      <c r="L2160" s="33">
        <v>250</v>
      </c>
      <c r="M2160" s="5">
        <f>K2160/L2160*1000</f>
        <v>27.96</v>
      </c>
      <c r="O2160" s="24" t="s">
        <v>3106</v>
      </c>
    </row>
    <row r="2161" spans="9:13" ht="12.75">
      <c r="I2161" s="6"/>
      <c r="J2161" s="55"/>
      <c r="L2161" s="7"/>
      <c r="M2161" s="16"/>
    </row>
    <row r="2162" spans="9:13" ht="12.75">
      <c r="I2162" s="40"/>
      <c r="J2162" s="61"/>
      <c r="L2162" s="42"/>
      <c r="M2162" s="5"/>
    </row>
    <row r="2163" spans="9:13" ht="12.75">
      <c r="I2163" s="6"/>
      <c r="J2163" s="55"/>
      <c r="K2163" s="16"/>
      <c r="L2163" s="7"/>
      <c r="M2163" s="41" t="s">
        <v>612</v>
      </c>
    </row>
    <row r="2164" spans="9:13" ht="15.75">
      <c r="I2164" s="52" t="s">
        <v>1803</v>
      </c>
      <c r="J2164" s="55"/>
      <c r="K2164" s="16"/>
      <c r="L2164" t="s">
        <v>1107</v>
      </c>
      <c r="M2164" s="16"/>
    </row>
    <row r="2165" spans="9:15" ht="12.75">
      <c r="I2165" s="2" t="s">
        <v>590</v>
      </c>
      <c r="J2165" s="66"/>
      <c r="K2165" s="5">
        <v>2.99</v>
      </c>
      <c r="L2165" s="33">
        <v>100</v>
      </c>
      <c r="M2165" s="5">
        <f>K2165/L2165*1000</f>
        <v>29.900000000000002</v>
      </c>
      <c r="N2165" s="33"/>
      <c r="O2165" s="88" t="s">
        <v>228</v>
      </c>
    </row>
    <row r="2166" spans="9:15" ht="12.75">
      <c r="I2166" s="71" t="s">
        <v>44</v>
      </c>
      <c r="J2166" s="96"/>
      <c r="K2166" s="29">
        <v>2.99</v>
      </c>
      <c r="L2166" s="30">
        <v>120</v>
      </c>
      <c r="M2166" s="29">
        <f aca="true" t="shared" si="171" ref="M2166:M2171">K2166/L2166*1000</f>
        <v>24.916666666666668</v>
      </c>
      <c r="N2166" s="30"/>
      <c r="O2166" s="88" t="s">
        <v>3106</v>
      </c>
    </row>
    <row r="2167" spans="9:15" ht="12.75">
      <c r="I2167" s="28" t="s">
        <v>1866</v>
      </c>
      <c r="J2167" s="96"/>
      <c r="K2167" s="29">
        <v>2.76</v>
      </c>
      <c r="L2167" s="30">
        <v>75</v>
      </c>
      <c r="M2167" s="29">
        <f t="shared" si="171"/>
        <v>36.8</v>
      </c>
      <c r="N2167" s="30"/>
      <c r="O2167" s="88" t="s">
        <v>3106</v>
      </c>
    </row>
    <row r="2168" spans="9:15" ht="12.75">
      <c r="I2168" s="28" t="s">
        <v>1740</v>
      </c>
      <c r="J2168" s="96">
        <v>2.95</v>
      </c>
      <c r="K2168" s="29">
        <f>J2168*0.97</f>
        <v>2.8615</v>
      </c>
      <c r="L2168" s="30">
        <v>75</v>
      </c>
      <c r="M2168" s="29">
        <f t="shared" si="171"/>
        <v>38.15333333333333</v>
      </c>
      <c r="N2168" s="30"/>
      <c r="O2168" s="88" t="s">
        <v>181</v>
      </c>
    </row>
    <row r="2169" spans="9:15" ht="12.75">
      <c r="I2169" s="71" t="s">
        <v>2774</v>
      </c>
      <c r="J2169" s="96"/>
      <c r="K2169" s="96">
        <v>3.49</v>
      </c>
      <c r="L2169" s="30">
        <v>130</v>
      </c>
      <c r="M2169" s="29">
        <f t="shared" si="171"/>
        <v>26.84615384615385</v>
      </c>
      <c r="N2169" s="30"/>
      <c r="O2169" s="88" t="s">
        <v>551</v>
      </c>
    </row>
    <row r="2170" spans="9:15" ht="12.75">
      <c r="I2170" s="31" t="s">
        <v>3099</v>
      </c>
      <c r="J2170" s="66"/>
      <c r="K2170" s="32">
        <v>3.71</v>
      </c>
      <c r="L2170" s="33">
        <v>80</v>
      </c>
      <c r="M2170" s="5">
        <f t="shared" si="171"/>
        <v>46.375</v>
      </c>
      <c r="N2170" s="33"/>
      <c r="O2170" s="88" t="s">
        <v>2943</v>
      </c>
    </row>
    <row r="2171" spans="9:15" ht="12.75">
      <c r="I2171" s="31" t="s">
        <v>1690</v>
      </c>
      <c r="J2171" s="66">
        <v>5.99</v>
      </c>
      <c r="K2171" s="5">
        <f>J2171*0.97</f>
        <v>5.8103</v>
      </c>
      <c r="L2171" s="33">
        <v>125</v>
      </c>
      <c r="M2171" s="5">
        <f t="shared" si="171"/>
        <v>46.4824</v>
      </c>
      <c r="N2171" s="94" t="s">
        <v>2073</v>
      </c>
      <c r="O2171" s="88" t="s">
        <v>2974</v>
      </c>
    </row>
    <row r="2172" spans="9:13" ht="15.75">
      <c r="I2172" s="52" t="s">
        <v>1861</v>
      </c>
      <c r="J2172" s="55"/>
      <c r="K2172" s="16"/>
      <c r="L2172" t="s">
        <v>1107</v>
      </c>
      <c r="M2172" s="16"/>
    </row>
    <row r="2173" spans="9:15" ht="12.75">
      <c r="I2173" s="2" t="s">
        <v>3010</v>
      </c>
      <c r="J2173" s="66">
        <v>3.55</v>
      </c>
      <c r="K2173" s="5">
        <f>J2173*0.97</f>
        <v>3.4435</v>
      </c>
      <c r="L2173" s="33">
        <v>180</v>
      </c>
      <c r="M2173" s="5">
        <f>K2173/L2173*1000</f>
        <v>19.130555555555553</v>
      </c>
      <c r="N2173" s="94"/>
      <c r="O2173" s="88" t="s">
        <v>2526</v>
      </c>
    </row>
    <row r="2174" spans="9:13" ht="12.75">
      <c r="I2174" s="6"/>
      <c r="J2174" s="55"/>
      <c r="K2174" s="16"/>
      <c r="L2174" s="7"/>
      <c r="M2174" s="16"/>
    </row>
    <row r="2175" spans="9:13" ht="15.75">
      <c r="I2175" s="178" t="s">
        <v>3185</v>
      </c>
      <c r="J2175" s="55"/>
      <c r="K2175" s="16"/>
      <c r="L2175" t="s">
        <v>1107</v>
      </c>
      <c r="M2175" s="16"/>
    </row>
    <row r="2176" spans="2:15" ht="12.75">
      <c r="B2176" s="195">
        <v>1.1</v>
      </c>
      <c r="C2176" s="195">
        <v>1</v>
      </c>
      <c r="D2176" s="195">
        <v>14</v>
      </c>
      <c r="F2176" s="198">
        <v>581</v>
      </c>
      <c r="G2176" s="195">
        <f>B2176/F2176*1000</f>
        <v>1.8932874354561104</v>
      </c>
      <c r="H2176" s="1213">
        <f>M2176/F2176*100000</f>
        <v>2314.9741824440616</v>
      </c>
      <c r="I2176" s="31" t="s">
        <v>3153</v>
      </c>
      <c r="J2176" s="66"/>
      <c r="K2176" s="32">
        <v>2.69</v>
      </c>
      <c r="L2176" s="33">
        <v>200</v>
      </c>
      <c r="M2176" s="1518">
        <f aca="true" t="shared" si="172" ref="M2176:M2181">K2176/L2176*1000</f>
        <v>13.45</v>
      </c>
      <c r="O2176" s="88" t="s">
        <v>3144</v>
      </c>
    </row>
    <row r="2177" spans="2:15" ht="12.75">
      <c r="B2177" s="195">
        <v>1.1</v>
      </c>
      <c r="C2177" s="195">
        <v>1</v>
      </c>
      <c r="D2177" s="195">
        <v>14</v>
      </c>
      <c r="F2177" s="198">
        <v>581</v>
      </c>
      <c r="G2177" s="195">
        <f>B2177/F2177*1000</f>
        <v>1.8932874354561104</v>
      </c>
      <c r="H2177" s="1213">
        <f>M2177/F2177*100000</f>
        <v>1196.2134251290877</v>
      </c>
      <c r="I2177" s="2" t="s">
        <v>3148</v>
      </c>
      <c r="J2177" s="66"/>
      <c r="K2177" s="58">
        <v>1.39</v>
      </c>
      <c r="L2177" s="33">
        <v>200</v>
      </c>
      <c r="M2177" s="32">
        <f t="shared" si="172"/>
        <v>6.949999999999999</v>
      </c>
      <c r="O2177" s="88" t="s">
        <v>3144</v>
      </c>
    </row>
    <row r="2178" spans="8:15" ht="12.75">
      <c r="H2178" s="1213"/>
      <c r="I2178" s="97" t="s">
        <v>329</v>
      </c>
      <c r="J2178" s="61"/>
      <c r="K2178" s="41">
        <v>2.48</v>
      </c>
      <c r="L2178" s="42">
        <v>180</v>
      </c>
      <c r="M2178" s="41">
        <f t="shared" si="172"/>
        <v>13.777777777777779</v>
      </c>
      <c r="O2178" s="24" t="s">
        <v>1424</v>
      </c>
    </row>
    <row r="2179" spans="8:15" ht="12.75">
      <c r="H2179" s="1213"/>
      <c r="I2179" s="6" t="s">
        <v>912</v>
      </c>
      <c r="J2179" s="55"/>
      <c r="K2179" s="16">
        <v>2.05</v>
      </c>
      <c r="L2179" s="7">
        <v>250</v>
      </c>
      <c r="M2179" s="16">
        <f t="shared" si="172"/>
        <v>8.2</v>
      </c>
      <c r="O2179" s="24" t="s">
        <v>1769</v>
      </c>
    </row>
    <row r="2180" spans="2:15" ht="12.75">
      <c r="B2180" s="195">
        <v>1.2</v>
      </c>
      <c r="C2180" s="195">
        <v>0.1</v>
      </c>
      <c r="D2180" s="195">
        <v>14</v>
      </c>
      <c r="F2180" s="198">
        <v>581</v>
      </c>
      <c r="G2180" s="195">
        <f>B2180/F2180*1000</f>
        <v>2.065404475043029</v>
      </c>
      <c r="H2180" s="1213">
        <f>M2180/F2180*100000</f>
        <v>2418.2444061962133</v>
      </c>
      <c r="I2180" s="37" t="s">
        <v>913</v>
      </c>
      <c r="J2180" s="55"/>
      <c r="K2180" s="490">
        <v>2.81</v>
      </c>
      <c r="L2180" s="26">
        <v>200</v>
      </c>
      <c r="M2180" s="25">
        <f t="shared" si="172"/>
        <v>14.05</v>
      </c>
      <c r="O2180" s="24" t="s">
        <v>1769</v>
      </c>
    </row>
    <row r="2181" spans="9:15" ht="12.75">
      <c r="I2181" s="97" t="s">
        <v>330</v>
      </c>
      <c r="J2181" s="66"/>
      <c r="K2181" s="5">
        <v>12.25</v>
      </c>
      <c r="L2181" s="33">
        <f>6*170</f>
        <v>1020</v>
      </c>
      <c r="M2181" s="32">
        <f t="shared" si="172"/>
        <v>12.009803921568627</v>
      </c>
      <c r="O2181" s="24" t="s">
        <v>175</v>
      </c>
    </row>
    <row r="2182" spans="9:15" ht="12.75">
      <c r="I2182" s="97" t="s">
        <v>577</v>
      </c>
      <c r="J2182" s="66"/>
      <c r="K2182" s="5">
        <v>2.49</v>
      </c>
      <c r="L2182" s="33">
        <v>215</v>
      </c>
      <c r="M2182" s="32">
        <f aca="true" t="shared" si="173" ref="M2182:M2191">K2182/L2182*1000</f>
        <v>11.58139534883721</v>
      </c>
      <c r="O2182" s="24" t="s">
        <v>939</v>
      </c>
    </row>
    <row r="2183" spans="9:15" ht="12.75">
      <c r="I2183" s="71" t="s">
        <v>577</v>
      </c>
      <c r="J2183" s="96"/>
      <c r="K2183" s="29">
        <v>1.69</v>
      </c>
      <c r="L2183" s="30">
        <v>215</v>
      </c>
      <c r="M2183" s="29">
        <f t="shared" si="173"/>
        <v>7.86046511627907</v>
      </c>
      <c r="O2183" s="24" t="s">
        <v>1910</v>
      </c>
    </row>
    <row r="2184" spans="9:15" ht="12.75">
      <c r="I2184" s="277" t="s">
        <v>1523</v>
      </c>
      <c r="J2184" s="66"/>
      <c r="K2184" s="5">
        <v>2.29</v>
      </c>
      <c r="L2184" s="33">
        <v>310</v>
      </c>
      <c r="M2184" s="32">
        <f t="shared" si="173"/>
        <v>7.387096774193549</v>
      </c>
      <c r="O2184" s="24" t="s">
        <v>2347</v>
      </c>
    </row>
    <row r="2185" spans="2:15" s="447" customFormat="1" ht="12.75">
      <c r="B2185" s="319"/>
      <c r="C2185" s="319"/>
      <c r="D2185" s="319"/>
      <c r="E2185" s="735"/>
      <c r="F2185" s="483"/>
      <c r="G2185" s="319"/>
      <c r="H2185" s="319"/>
      <c r="I2185" s="635" t="s">
        <v>128</v>
      </c>
      <c r="J2185" s="320"/>
      <c r="K2185" s="321">
        <f>0.75*2.89</f>
        <v>2.1675</v>
      </c>
      <c r="L2185" s="447">
        <v>215</v>
      </c>
      <c r="M2185" s="321">
        <f t="shared" si="173"/>
        <v>10.081395348837209</v>
      </c>
      <c r="N2185" s="267" t="s">
        <v>2698</v>
      </c>
      <c r="O2185" s="448" t="s">
        <v>1295</v>
      </c>
    </row>
    <row r="2186" spans="2:15" s="447" customFormat="1" ht="12.75">
      <c r="B2186" s="319"/>
      <c r="C2186" s="319"/>
      <c r="D2186" s="319"/>
      <c r="E2186" s="735"/>
      <c r="F2186" s="483"/>
      <c r="G2186" s="319"/>
      <c r="H2186" s="319"/>
      <c r="I2186" s="432" t="s">
        <v>128</v>
      </c>
      <c r="J2186" s="404"/>
      <c r="K2186" s="314">
        <f>0.75*2.89*0.9</f>
        <v>1.95075</v>
      </c>
      <c r="L2186" s="315">
        <v>215</v>
      </c>
      <c r="M2186" s="626">
        <f t="shared" si="173"/>
        <v>9.07325581395349</v>
      </c>
      <c r="N2186" s="996" t="s">
        <v>905</v>
      </c>
      <c r="O2186" s="448" t="s">
        <v>2575</v>
      </c>
    </row>
    <row r="2187" spans="2:15" s="447" customFormat="1" ht="12.75">
      <c r="B2187" s="319"/>
      <c r="C2187" s="319"/>
      <c r="D2187" s="319"/>
      <c r="E2187" s="735"/>
      <c r="F2187" s="483"/>
      <c r="G2187" s="319"/>
      <c r="H2187" s="319"/>
      <c r="I2187" s="432" t="s">
        <v>128</v>
      </c>
      <c r="J2187" s="404"/>
      <c r="K2187" s="314">
        <f>0.75*2.89</f>
        <v>2.1675</v>
      </c>
      <c r="L2187" s="315">
        <v>215</v>
      </c>
      <c r="M2187" s="314">
        <f t="shared" si="173"/>
        <v>10.081395348837209</v>
      </c>
      <c r="N2187" s="962" t="s">
        <v>2698</v>
      </c>
      <c r="O2187" s="448" t="s">
        <v>727</v>
      </c>
    </row>
    <row r="2188" spans="2:15" s="447" customFormat="1" ht="12.75">
      <c r="B2188" s="319"/>
      <c r="C2188" s="319"/>
      <c r="D2188" s="319"/>
      <c r="E2188" s="735"/>
      <c r="F2188" s="483"/>
      <c r="G2188" s="319"/>
      <c r="H2188" s="319"/>
      <c r="I2188" s="432" t="s">
        <v>128</v>
      </c>
      <c r="J2188" s="404"/>
      <c r="K2188" s="314">
        <v>2.89</v>
      </c>
      <c r="L2188" s="315">
        <v>215</v>
      </c>
      <c r="M2188" s="314">
        <f t="shared" si="173"/>
        <v>13.44186046511628</v>
      </c>
      <c r="N2188" s="488"/>
      <c r="O2188" s="716" t="s">
        <v>1705</v>
      </c>
    </row>
    <row r="2189" spans="2:15" ht="12.75">
      <c r="B2189" s="195">
        <v>0.8</v>
      </c>
      <c r="C2189" s="195">
        <v>0.4</v>
      </c>
      <c r="D2189" s="195">
        <v>14</v>
      </c>
      <c r="F2189" s="198">
        <v>580</v>
      </c>
      <c r="G2189" s="195">
        <f>B2189/F2189*1000</f>
        <v>1.3793103448275863</v>
      </c>
      <c r="H2189" s="1213">
        <f>M2189/F2189*100000</f>
        <v>894.3965517241378</v>
      </c>
      <c r="I2189" s="1384" t="s">
        <v>1275</v>
      </c>
      <c r="J2189" s="55"/>
      <c r="K2189" s="16">
        <v>0.83</v>
      </c>
      <c r="L2189" s="7">
        <v>160</v>
      </c>
      <c r="M2189" s="16">
        <f>K2189/L2189*1000</f>
        <v>5.187499999999999</v>
      </c>
      <c r="O2189" s="448" t="s">
        <v>175</v>
      </c>
    </row>
    <row r="2190" spans="2:15" ht="12.75">
      <c r="B2190" s="195">
        <v>0.8</v>
      </c>
      <c r="H2190" s="1213"/>
      <c r="I2190" s="43" t="s">
        <v>3042</v>
      </c>
      <c r="J2190" s="46"/>
      <c r="K2190" s="44">
        <v>11.43</v>
      </c>
      <c r="L2190" s="45">
        <f>8*85</f>
        <v>680</v>
      </c>
      <c r="M2190" s="44">
        <f>K2190/L2190*1000</f>
        <v>16.808823529411764</v>
      </c>
      <c r="O2190" s="716" t="s">
        <v>2384</v>
      </c>
    </row>
    <row r="2191" spans="9:15" ht="12.75">
      <c r="I2191" s="2" t="s">
        <v>573</v>
      </c>
      <c r="J2191" s="66"/>
      <c r="K2191" s="5">
        <v>1.97</v>
      </c>
      <c r="L2191" s="33">
        <v>185</v>
      </c>
      <c r="M2191" s="32">
        <f t="shared" si="173"/>
        <v>10.64864864864865</v>
      </c>
      <c r="O2191" s="24" t="s">
        <v>252</v>
      </c>
    </row>
    <row r="2192" spans="2:15" ht="12.75">
      <c r="B2192" s="195">
        <v>1.6</v>
      </c>
      <c r="C2192" s="195">
        <v>1.6</v>
      </c>
      <c r="D2192" s="195">
        <v>22</v>
      </c>
      <c r="F2192" s="198">
        <v>917</v>
      </c>
      <c r="G2192" s="195">
        <f>B2192/F2192*1000</f>
        <v>1.7448200654307526</v>
      </c>
      <c r="H2192" s="1213">
        <f>M2192/F2192*100000</f>
        <v>703.3805888767721</v>
      </c>
      <c r="I2192" s="15" t="s">
        <v>2710</v>
      </c>
      <c r="J2192" s="55"/>
      <c r="K2192" s="129">
        <v>1.29</v>
      </c>
      <c r="L2192" s="7">
        <v>200</v>
      </c>
      <c r="M2192" s="16">
        <f>K2192/L2192*1000</f>
        <v>6.45</v>
      </c>
      <c r="O2192" s="24" t="s">
        <v>1424</v>
      </c>
    </row>
    <row r="2193" spans="2:15" ht="12.75">
      <c r="B2193" s="195">
        <v>1.1</v>
      </c>
      <c r="C2193" s="195">
        <v>1</v>
      </c>
      <c r="D2193" s="195">
        <v>14</v>
      </c>
      <c r="F2193" s="198">
        <v>581</v>
      </c>
      <c r="G2193" s="195">
        <f>B2193/F2193*1000</f>
        <v>1.8932874354561104</v>
      </c>
      <c r="H2193" s="1213">
        <f>M2193/F2193*100000</f>
        <v>1110.1549053356284</v>
      </c>
      <c r="I2193" s="1482" t="s">
        <v>3148</v>
      </c>
      <c r="J2193" s="1483"/>
      <c r="K2193" s="1506">
        <v>1.29</v>
      </c>
      <c r="L2193" s="1474">
        <v>200</v>
      </c>
      <c r="M2193" s="1473">
        <f>K2193/L2193*1000</f>
        <v>6.45</v>
      </c>
      <c r="O2193" s="24" t="s">
        <v>1424</v>
      </c>
    </row>
    <row r="2194" spans="2:15" ht="12.75">
      <c r="B2194" s="195">
        <v>1.2</v>
      </c>
      <c r="C2194" s="195">
        <v>0.1</v>
      </c>
      <c r="D2194" s="195">
        <v>20.7</v>
      </c>
      <c r="F2194" s="198">
        <v>798</v>
      </c>
      <c r="G2194" s="195">
        <f>B2194/F2194*1000</f>
        <v>1.5037593984962405</v>
      </c>
      <c r="H2194" s="1213">
        <f>M2194/F2194*100000</f>
        <v>808.2706766917294</v>
      </c>
      <c r="I2194" s="15" t="s">
        <v>28</v>
      </c>
      <c r="J2194" s="55"/>
      <c r="K2194" s="129">
        <v>1.29</v>
      </c>
      <c r="L2194" s="7">
        <v>200</v>
      </c>
      <c r="M2194" s="16">
        <f>K2194/L2194*1000</f>
        <v>6.45</v>
      </c>
      <c r="O2194" s="24" t="s">
        <v>2124</v>
      </c>
    </row>
    <row r="2195" spans="2:15" ht="12.75">
      <c r="B2195" s="195">
        <v>0.8</v>
      </c>
      <c r="C2195" s="195">
        <v>0.8</v>
      </c>
      <c r="D2195" s="195">
        <v>14.8</v>
      </c>
      <c r="F2195" s="198">
        <v>591</v>
      </c>
      <c r="G2195" s="195">
        <f>B2195/F2195*1000</f>
        <v>1.353637901861252</v>
      </c>
      <c r="I2195" s="15" t="s">
        <v>681</v>
      </c>
      <c r="J2195" s="55"/>
      <c r="K2195" s="129">
        <v>1.29</v>
      </c>
      <c r="L2195" s="7">
        <v>200</v>
      </c>
      <c r="M2195" s="16">
        <f>K2195/L2195*1000</f>
        <v>6.45</v>
      </c>
      <c r="N2195" s="254"/>
      <c r="O2195" s="24" t="s">
        <v>2455</v>
      </c>
    </row>
    <row r="2196" spans="9:14" ht="12.75">
      <c r="I2196" s="6"/>
      <c r="J2196" s="55"/>
      <c r="K2196" s="16"/>
      <c r="L2196" s="7"/>
      <c r="M2196" s="16"/>
      <c r="N2196" s="7"/>
    </row>
    <row r="2197" spans="9:13" ht="15.75">
      <c r="I2197" s="178" t="s">
        <v>3176</v>
      </c>
      <c r="J2197" s="55"/>
      <c r="K2197" s="16"/>
      <c r="L2197" t="s">
        <v>1107</v>
      </c>
      <c r="M2197" s="16"/>
    </row>
    <row r="2198" spans="9:15" ht="12.75">
      <c r="I2198" s="2" t="s">
        <v>3177</v>
      </c>
      <c r="J2198" s="55"/>
      <c r="K2198" s="32">
        <v>2.09</v>
      </c>
      <c r="L2198" s="33">
        <v>215</v>
      </c>
      <c r="M2198" s="58">
        <f>K2198/L2198*1000</f>
        <v>9.720930232558139</v>
      </c>
      <c r="O2198" s="88" t="s">
        <v>3180</v>
      </c>
    </row>
    <row r="2199" spans="9:14" ht="12.75">
      <c r="I2199" s="6"/>
      <c r="J2199" s="55"/>
      <c r="K2199" s="16"/>
      <c r="L2199" s="7"/>
      <c r="M2199" s="16"/>
      <c r="N2199" s="7"/>
    </row>
    <row r="2200" spans="9:13" ht="15.75">
      <c r="I2200" s="178" t="s">
        <v>1203</v>
      </c>
      <c r="J2200" s="55"/>
      <c r="K2200" s="16"/>
      <c r="L2200" t="s">
        <v>1107</v>
      </c>
      <c r="M2200" s="16"/>
    </row>
    <row r="2201" spans="2:15" ht="12.75">
      <c r="B2201" s="195">
        <v>1.9</v>
      </c>
      <c r="C2201" s="195">
        <v>2</v>
      </c>
      <c r="D2201" s="195">
        <v>28</v>
      </c>
      <c r="F2201" s="198">
        <v>1118</v>
      </c>
      <c r="G2201" s="195">
        <f>B2201/F2201*1000</f>
        <v>1.6994633273703041</v>
      </c>
      <c r="H2201" s="1213">
        <f>M2201/F2201*100000</f>
        <v>889.9821109123436</v>
      </c>
      <c r="I2201" s="2" t="s">
        <v>3194</v>
      </c>
      <c r="J2201" s="55"/>
      <c r="K2201" s="32">
        <v>1.99</v>
      </c>
      <c r="L2201" s="33">
        <v>200</v>
      </c>
      <c r="M2201" s="58">
        <f>K2201/L2201*1000</f>
        <v>9.950000000000001</v>
      </c>
      <c r="O2201" s="88" t="s">
        <v>3180</v>
      </c>
    </row>
    <row r="2202" spans="2:15" ht="12.75">
      <c r="B2202" s="195">
        <v>1.9</v>
      </c>
      <c r="C2202" s="195">
        <v>2</v>
      </c>
      <c r="D2202" s="195">
        <v>28</v>
      </c>
      <c r="F2202" s="198">
        <v>1118</v>
      </c>
      <c r="G2202" s="195">
        <f>B2202/F2202*1000</f>
        <v>1.6994633273703041</v>
      </c>
      <c r="H2202" s="1213">
        <f>M2202/F2202*100000</f>
        <v>889.9821109123436</v>
      </c>
      <c r="I2202" s="2" t="s">
        <v>3170</v>
      </c>
      <c r="J2202" s="55"/>
      <c r="K2202" s="32">
        <v>1.99</v>
      </c>
      <c r="L2202" s="33">
        <v>200</v>
      </c>
      <c r="M2202" s="58">
        <f aca="true" t="shared" si="174" ref="M2202:M2207">K2202/L2202*1000</f>
        <v>9.950000000000001</v>
      </c>
      <c r="O2202" s="88" t="s">
        <v>3154</v>
      </c>
    </row>
    <row r="2203" spans="2:15" ht="12.75">
      <c r="B2203" s="195">
        <v>1.5</v>
      </c>
      <c r="C2203" s="195">
        <v>1.7</v>
      </c>
      <c r="D2203" s="195">
        <v>22</v>
      </c>
      <c r="F2203" s="198">
        <v>868</v>
      </c>
      <c r="G2203" s="195">
        <f>B2203/F2203*1000</f>
        <v>1.7281105990783412</v>
      </c>
      <c r="H2203" s="1213">
        <f>M2203/F2203*100000</f>
        <v>2116.177540625758</v>
      </c>
      <c r="I2203" s="1527" t="s">
        <v>3165</v>
      </c>
      <c r="J2203" s="55"/>
      <c r="K2203" s="32">
        <v>3.49</v>
      </c>
      <c r="L2203" s="33">
        <v>190</v>
      </c>
      <c r="M2203" s="1518">
        <f t="shared" si="174"/>
        <v>18.36842105263158</v>
      </c>
      <c r="O2203" s="88" t="s">
        <v>3154</v>
      </c>
    </row>
    <row r="2204" spans="8:15" ht="12.75">
      <c r="H2204" s="1213"/>
      <c r="I2204" s="31" t="s">
        <v>3147</v>
      </c>
      <c r="J2204" s="55"/>
      <c r="K2204" s="32">
        <v>1.99</v>
      </c>
      <c r="L2204" s="33">
        <v>180</v>
      </c>
      <c r="M2204" s="32">
        <f t="shared" si="174"/>
        <v>11.055555555555557</v>
      </c>
      <c r="O2204" s="88" t="s">
        <v>3144</v>
      </c>
    </row>
    <row r="2205" spans="8:15" ht="12.75">
      <c r="H2205" s="1213"/>
      <c r="I2205" s="209" t="s">
        <v>1172</v>
      </c>
      <c r="J2205" s="55"/>
      <c r="K2205" s="16">
        <v>1.89</v>
      </c>
      <c r="L2205" s="7">
        <v>180</v>
      </c>
      <c r="M2205" s="16">
        <f t="shared" si="174"/>
        <v>10.499999999999998</v>
      </c>
      <c r="O2205" s="24" t="s">
        <v>1170</v>
      </c>
    </row>
    <row r="2206" spans="2:15" ht="12.75">
      <c r="B2206" s="195">
        <v>3</v>
      </c>
      <c r="C2206" s="195">
        <v>0.9</v>
      </c>
      <c r="D2206" s="195">
        <v>33</v>
      </c>
      <c r="F2206" s="198">
        <v>941</v>
      </c>
      <c r="G2206" s="195">
        <f>B2206/F2206*1000</f>
        <v>3.188097768331562</v>
      </c>
      <c r="H2206" s="1213">
        <f>M2206/F2206*100000</f>
        <v>1057.3857598299683</v>
      </c>
      <c r="I2206" s="209" t="s">
        <v>1171</v>
      </c>
      <c r="J2206" s="55"/>
      <c r="K2206" s="16">
        <v>1.99</v>
      </c>
      <c r="L2206" s="7">
        <v>200</v>
      </c>
      <c r="M2206" s="16">
        <f t="shared" si="174"/>
        <v>9.950000000000001</v>
      </c>
      <c r="O2206" s="24" t="s">
        <v>2514</v>
      </c>
    </row>
    <row r="2207" spans="2:15" ht="12.75">
      <c r="B2207" s="195">
        <v>1.7</v>
      </c>
      <c r="C2207" s="195">
        <v>0.4</v>
      </c>
      <c r="D2207" s="195">
        <v>26</v>
      </c>
      <c r="F2207" s="198">
        <v>1019</v>
      </c>
      <c r="G2207" s="195">
        <f>B2207/F2207*1000</f>
        <v>1.6683022571148183</v>
      </c>
      <c r="H2207" s="1213">
        <f>M2207/F2207*100000</f>
        <v>927.3797841020607</v>
      </c>
      <c r="I2207" s="71" t="s">
        <v>1171</v>
      </c>
      <c r="J2207" s="96"/>
      <c r="K2207" s="29">
        <v>1.89</v>
      </c>
      <c r="L2207" s="30">
        <v>200</v>
      </c>
      <c r="M2207" s="29">
        <f t="shared" si="174"/>
        <v>9.45</v>
      </c>
      <c r="O2207" s="24" t="s">
        <v>1170</v>
      </c>
    </row>
    <row r="2208" spans="2:15" ht="12.75">
      <c r="B2208" s="195">
        <v>1.9</v>
      </c>
      <c r="C2208" s="195">
        <v>0.1</v>
      </c>
      <c r="D2208" s="195">
        <v>26.9</v>
      </c>
      <c r="F2208" s="198">
        <v>1068</v>
      </c>
      <c r="G2208" s="195">
        <f>B2208/F2208*1000</f>
        <v>1.7790262172284643</v>
      </c>
      <c r="H2208" s="1213">
        <f>M2208/F2208*100000</f>
        <v>1146.067415730337</v>
      </c>
      <c r="I2208" s="43" t="s">
        <v>1551</v>
      </c>
      <c r="J2208" s="55"/>
      <c r="K2208" s="16">
        <v>1.53</v>
      </c>
      <c r="L2208" s="7">
        <v>125</v>
      </c>
      <c r="M2208" s="16">
        <f aca="true" t="shared" si="175" ref="M2208:M2213">K2208/L2208*1000</f>
        <v>12.24</v>
      </c>
      <c r="O2208" s="24" t="s">
        <v>1030</v>
      </c>
    </row>
    <row r="2209" spans="2:15" ht="12.75">
      <c r="B2209" s="195">
        <v>1.9</v>
      </c>
      <c r="C2209" s="195">
        <v>2</v>
      </c>
      <c r="D2209" s="195">
        <v>28</v>
      </c>
      <c r="F2209" s="198">
        <v>1118</v>
      </c>
      <c r="G2209" s="195">
        <f>B2209/F2209*1000</f>
        <v>1.6994633273703041</v>
      </c>
      <c r="H2209" s="1213">
        <f>M2209/F2209*100000</f>
        <v>532.200357781753</v>
      </c>
      <c r="I2209" s="15" t="s">
        <v>2068</v>
      </c>
      <c r="J2209" s="55"/>
      <c r="K2209" s="129">
        <v>1.19</v>
      </c>
      <c r="L2209" s="128">
        <v>200</v>
      </c>
      <c r="M2209" s="129">
        <f t="shared" si="175"/>
        <v>5.949999999999999</v>
      </c>
      <c r="O2209" s="24" t="s">
        <v>1207</v>
      </c>
    </row>
    <row r="2210" spans="2:15" ht="12.75">
      <c r="B2210" s="195">
        <v>0.5</v>
      </c>
      <c r="C2210" s="195">
        <v>0.1</v>
      </c>
      <c r="D2210" s="195">
        <v>13.2</v>
      </c>
      <c r="F2210" s="198">
        <v>523</v>
      </c>
      <c r="G2210" s="195">
        <f>B2210/F2210*1000</f>
        <v>0.9560229445506692</v>
      </c>
      <c r="H2210" s="1213">
        <f>M2210/F2210*100000</f>
        <v>1450.9054099651335</v>
      </c>
      <c r="I2210" s="6" t="s">
        <v>981</v>
      </c>
      <c r="J2210" s="55"/>
      <c r="K2210" s="16">
        <v>1.29</v>
      </c>
      <c r="L2210" s="7">
        <v>170</v>
      </c>
      <c r="M2210" s="16">
        <f t="shared" si="175"/>
        <v>7.588235294117648</v>
      </c>
      <c r="O2210" s="24" t="s">
        <v>2384</v>
      </c>
    </row>
    <row r="2211" spans="9:15" ht="12.75">
      <c r="I2211" s="6" t="s">
        <v>1953</v>
      </c>
      <c r="J2211" s="55"/>
      <c r="K2211" s="16">
        <v>0.99</v>
      </c>
      <c r="L2211" s="7">
        <v>110</v>
      </c>
      <c r="M2211" s="16">
        <f t="shared" si="175"/>
        <v>9</v>
      </c>
      <c r="N2211" s="99"/>
      <c r="O2211" s="716" t="s">
        <v>1204</v>
      </c>
    </row>
    <row r="2212" spans="2:15" ht="12.75">
      <c r="B2212" s="195">
        <v>0.8</v>
      </c>
      <c r="H2212" s="1213"/>
      <c r="I2212" s="37" t="s">
        <v>3043</v>
      </c>
      <c r="J2212" s="46"/>
      <c r="K2212" s="44">
        <v>2.2</v>
      </c>
      <c r="L2212" s="45">
        <v>170</v>
      </c>
      <c r="M2212" s="44">
        <f t="shared" si="175"/>
        <v>12.941176470588237</v>
      </c>
      <c r="O2212" s="716" t="s">
        <v>2384</v>
      </c>
    </row>
    <row r="2213" spans="2:15" ht="12.75">
      <c r="B2213" s="195">
        <v>0.8</v>
      </c>
      <c r="C2213" s="195">
        <v>0.4</v>
      </c>
      <c r="D2213" s="195">
        <v>13</v>
      </c>
      <c r="F2213" s="198">
        <v>547</v>
      </c>
      <c r="G2213" s="195">
        <f>B2213/F2213*1000</f>
        <v>1.4625228519195612</v>
      </c>
      <c r="H2213" s="1213">
        <f>M2213/F2213*100000</f>
        <v>948.3546617915903</v>
      </c>
      <c r="I2213" s="1384" t="s">
        <v>1274</v>
      </c>
      <c r="J2213" s="55"/>
      <c r="K2213" s="129">
        <v>0.83</v>
      </c>
      <c r="L2213" s="128">
        <v>160</v>
      </c>
      <c r="M2213" s="129">
        <f t="shared" si="175"/>
        <v>5.187499999999999</v>
      </c>
      <c r="O2213" s="448" t="s">
        <v>175</v>
      </c>
    </row>
    <row r="2214" spans="9:14" ht="12.75">
      <c r="I2214" s="1155"/>
      <c r="J2214" s="55"/>
      <c r="K2214" s="16"/>
      <c r="L2214" s="7"/>
      <c r="M2214" s="16"/>
      <c r="N2214" s="99"/>
    </row>
    <row r="2215" spans="9:14" ht="12.75">
      <c r="I2215" s="6"/>
      <c r="J2215" s="55"/>
      <c r="K2215" s="16"/>
      <c r="L2215" s="7"/>
      <c r="M2215" s="16"/>
      <c r="N2215" s="7"/>
    </row>
    <row r="2216" spans="3:15" ht="12.75" customHeight="1">
      <c r="C2216" s="278"/>
      <c r="I2216" s="37"/>
      <c r="J2216" s="709"/>
      <c r="K2216" s="25"/>
      <c r="L2216" s="889"/>
      <c r="M2216" s="25"/>
      <c r="N2216" s="27"/>
      <c r="O2216" s="716"/>
    </row>
    <row r="2217" spans="9:14" ht="15.75">
      <c r="I2217" s="248" t="s">
        <v>1693</v>
      </c>
      <c r="J2217" s="55"/>
      <c r="K2217" s="16"/>
      <c r="L2217" s="125" t="s">
        <v>645</v>
      </c>
      <c r="M2217" s="16"/>
      <c r="N2217" s="7"/>
    </row>
    <row r="2218" spans="2:15" s="5" customFormat="1" ht="12.75">
      <c r="B2218" s="195"/>
      <c r="C2218" s="195"/>
      <c r="D2218" s="195"/>
      <c r="E2218" s="733"/>
      <c r="F2218" s="198"/>
      <c r="G2218" s="195"/>
      <c r="H2218" s="195"/>
      <c r="I2218" s="1512" t="s">
        <v>2398</v>
      </c>
      <c r="J2218" s="1513"/>
      <c r="K2218" s="1514"/>
      <c r="L2218" s="1513"/>
      <c r="M2218" s="1513">
        <v>8.99</v>
      </c>
      <c r="N2218" s="1515"/>
      <c r="O2218" s="1516" t="s">
        <v>3144</v>
      </c>
    </row>
    <row r="2219" spans="2:15" s="5" customFormat="1" ht="12.75">
      <c r="B2219" s="195"/>
      <c r="C2219" s="195"/>
      <c r="D2219" s="195"/>
      <c r="E2219" s="733"/>
      <c r="F2219" s="198"/>
      <c r="G2219" s="195"/>
      <c r="H2219" s="195"/>
      <c r="I2219" s="1507" t="s">
        <v>2398</v>
      </c>
      <c r="J2219" s="1508"/>
      <c r="K2219" s="1509">
        <f>K2220*0.75</f>
        <v>5.2425</v>
      </c>
      <c r="L2219" s="1510">
        <v>500</v>
      </c>
      <c r="M2219" s="1508">
        <f>K2219/L2219*1000</f>
        <v>10.485</v>
      </c>
      <c r="N2219" s="1511" t="s">
        <v>2401</v>
      </c>
      <c r="O2219" s="775" t="s">
        <v>2402</v>
      </c>
    </row>
    <row r="2220" spans="2:15" s="5" customFormat="1" ht="12.75">
      <c r="B2220" s="195"/>
      <c r="C2220" s="195"/>
      <c r="D2220" s="195"/>
      <c r="E2220" s="733"/>
      <c r="F2220" s="198"/>
      <c r="G2220" s="195"/>
      <c r="H2220" s="195"/>
      <c r="I2220" s="1507" t="s">
        <v>2398</v>
      </c>
      <c r="J2220" s="1508"/>
      <c r="K2220" s="1509">
        <v>6.99</v>
      </c>
      <c r="L2220" s="1510">
        <v>500</v>
      </c>
      <c r="M2220" s="1508">
        <f>K2220/L2220*1000</f>
        <v>13.98</v>
      </c>
      <c r="N2220" s="1511" t="s">
        <v>1362</v>
      </c>
      <c r="O2220" s="775" t="s">
        <v>2402</v>
      </c>
    </row>
    <row r="2221" spans="2:15" s="5" customFormat="1" ht="12.75">
      <c r="B2221" s="195"/>
      <c r="C2221" s="195"/>
      <c r="D2221" s="195"/>
      <c r="E2221" s="733"/>
      <c r="F2221" s="198"/>
      <c r="G2221" s="195"/>
      <c r="H2221" s="195"/>
      <c r="I2221" s="1507" t="s">
        <v>2398</v>
      </c>
      <c r="J2221" s="1508"/>
      <c r="K2221" s="1509">
        <v>7.99</v>
      </c>
      <c r="L2221" s="1510">
        <v>500</v>
      </c>
      <c r="M2221" s="1508">
        <f>K2221/L2221*1000</f>
        <v>15.98</v>
      </c>
      <c r="N2221" s="1511"/>
      <c r="O2221" s="775" t="s">
        <v>2402</v>
      </c>
    </row>
    <row r="2222" spans="2:15" s="1141" customFormat="1" ht="12.75">
      <c r="B2222" s="1352"/>
      <c r="C2222" s="1352"/>
      <c r="D2222" s="1352"/>
      <c r="E2222" s="1353"/>
      <c r="F2222" s="1354"/>
      <c r="G2222" s="1352"/>
      <c r="H2222" s="1352"/>
      <c r="I2222" s="40" t="s">
        <v>2311</v>
      </c>
      <c r="K2222" s="1140">
        <v>8.95</v>
      </c>
      <c r="L2222" s="1355">
        <v>500</v>
      </c>
      <c r="M2222" s="16">
        <f aca="true" t="shared" si="176" ref="M2222:M2230">K2222/L2222*1000</f>
        <v>17.9</v>
      </c>
      <c r="N2222" s="1356" t="s">
        <v>1362</v>
      </c>
      <c r="O2222" s="775" t="s">
        <v>124</v>
      </c>
    </row>
    <row r="2223" spans="2:15" s="1141" customFormat="1" ht="12.75">
      <c r="B2223" s="1352"/>
      <c r="C2223" s="1352"/>
      <c r="D2223" s="1352"/>
      <c r="E2223" s="1353"/>
      <c r="F2223" s="1354"/>
      <c r="G2223" s="1352"/>
      <c r="H2223" s="1352"/>
      <c r="I2223" s="40" t="s">
        <v>2311</v>
      </c>
      <c r="K2223" s="1140">
        <v>9.95</v>
      </c>
      <c r="L2223" s="1355">
        <v>500</v>
      </c>
      <c r="M2223" s="16">
        <f t="shared" si="176"/>
        <v>19.9</v>
      </c>
      <c r="N2223" s="1356"/>
      <c r="O2223" s="775" t="s">
        <v>124</v>
      </c>
    </row>
    <row r="2224" spans="2:15" s="1141" customFormat="1" ht="12.75">
      <c r="B2224" s="1352"/>
      <c r="C2224" s="1352"/>
      <c r="D2224" s="1352"/>
      <c r="E2224" s="1353"/>
      <c r="F2224" s="1354"/>
      <c r="G2224" s="1352"/>
      <c r="H2224" s="1352"/>
      <c r="I2224" s="1507" t="s">
        <v>2312</v>
      </c>
      <c r="J2224" s="1508"/>
      <c r="K2224" s="1509">
        <v>8</v>
      </c>
      <c r="L2224" s="1510">
        <v>500</v>
      </c>
      <c r="M2224" s="1508">
        <f t="shared" si="176"/>
        <v>16</v>
      </c>
      <c r="N2224" s="1511" t="s">
        <v>1362</v>
      </c>
      <c r="O2224" s="775" t="s">
        <v>124</v>
      </c>
    </row>
    <row r="2225" spans="2:15" s="1141" customFormat="1" ht="12.75">
      <c r="B2225" s="1352"/>
      <c r="C2225" s="1352"/>
      <c r="D2225" s="1352"/>
      <c r="E2225" s="1353"/>
      <c r="F2225" s="1354"/>
      <c r="G2225" s="1352"/>
      <c r="H2225" s="1352"/>
      <c r="I2225" s="1507" t="s">
        <v>2312</v>
      </c>
      <c r="J2225" s="1508"/>
      <c r="K2225" s="1509">
        <v>8.97</v>
      </c>
      <c r="L2225" s="1510">
        <v>500</v>
      </c>
      <c r="M2225" s="1508">
        <f>K2225/L2225*1000</f>
        <v>17.94</v>
      </c>
      <c r="N2225" s="1511"/>
      <c r="O2225" s="775" t="s">
        <v>124</v>
      </c>
    </row>
    <row r="2226" spans="2:15" s="1141" customFormat="1" ht="12.75">
      <c r="B2226" s="1352"/>
      <c r="C2226" s="1352"/>
      <c r="D2226" s="1352"/>
      <c r="E2226" s="1353"/>
      <c r="F2226" s="1354"/>
      <c r="G2226" s="1352"/>
      <c r="H2226" s="1352"/>
      <c r="I2226" s="1507" t="s">
        <v>2312</v>
      </c>
      <c r="J2226" s="1508"/>
      <c r="K2226" s="1509"/>
      <c r="L2226" s="1510">
        <v>1000</v>
      </c>
      <c r="M2226" s="1508">
        <f>15.95*0.9</f>
        <v>14.355</v>
      </c>
      <c r="N2226" s="1511" t="s">
        <v>1398</v>
      </c>
      <c r="O2226" s="775" t="s">
        <v>3121</v>
      </c>
    </row>
    <row r="2227" spans="2:15" s="1141" customFormat="1" ht="12.75">
      <c r="B2227" s="1352"/>
      <c r="C2227" s="1352"/>
      <c r="D2227" s="1352"/>
      <c r="E2227" s="1353"/>
      <c r="F2227" s="1354"/>
      <c r="G2227" s="1352"/>
      <c r="H2227" s="1352"/>
      <c r="I2227" s="1507" t="s">
        <v>2312</v>
      </c>
      <c r="J2227" s="1508"/>
      <c r="K2227" s="1509"/>
      <c r="L2227" s="1510">
        <v>1000</v>
      </c>
      <c r="M2227" s="1508">
        <v>15.95</v>
      </c>
      <c r="N2227" s="1356"/>
      <c r="O2227" s="775" t="s">
        <v>3121</v>
      </c>
    </row>
    <row r="2228" spans="2:15" s="5" customFormat="1" ht="12.75">
      <c r="B2228" s="195"/>
      <c r="C2228" s="195"/>
      <c r="D2228" s="195"/>
      <c r="E2228" s="733"/>
      <c r="F2228" s="198"/>
      <c r="G2228" s="195"/>
      <c r="H2228" s="195"/>
      <c r="I2228" s="15" t="s">
        <v>2552</v>
      </c>
      <c r="J2228" s="16"/>
      <c r="K2228" s="7">
        <v>4.29</v>
      </c>
      <c r="L2228" s="16">
        <v>500</v>
      </c>
      <c r="M2228" s="16">
        <f>K2228/L2228*1000</f>
        <v>8.58</v>
      </c>
      <c r="N2228" s="36"/>
      <c r="O2228" s="448" t="s">
        <v>3144</v>
      </c>
    </row>
    <row r="2229" spans="2:15" s="5" customFormat="1" ht="12.75">
      <c r="B2229" s="195"/>
      <c r="C2229" s="195"/>
      <c r="D2229" s="195"/>
      <c r="E2229" s="733"/>
      <c r="F2229" s="198"/>
      <c r="G2229" s="195"/>
      <c r="H2229" s="195"/>
      <c r="I2229" s="147" t="s">
        <v>2552</v>
      </c>
      <c r="J2229" s="148"/>
      <c r="K2229" s="149">
        <v>3.79</v>
      </c>
      <c r="L2229" s="148">
        <v>500</v>
      </c>
      <c r="M2229" s="148">
        <f t="shared" si="176"/>
        <v>7.58</v>
      </c>
      <c r="N2229" s="36"/>
      <c r="O2229" s="448" t="s">
        <v>2071</v>
      </c>
    </row>
    <row r="2230" spans="2:15" s="5" customFormat="1" ht="12.75">
      <c r="B2230" s="195"/>
      <c r="C2230" s="195"/>
      <c r="D2230" s="195"/>
      <c r="E2230" s="733"/>
      <c r="F2230" s="198"/>
      <c r="G2230" s="195"/>
      <c r="H2230" s="195"/>
      <c r="I2230" s="147" t="s">
        <v>2552</v>
      </c>
      <c r="J2230" s="148"/>
      <c r="K2230" s="149">
        <v>3.49</v>
      </c>
      <c r="L2230" s="148">
        <v>500</v>
      </c>
      <c r="M2230" s="148">
        <f t="shared" si="176"/>
        <v>6.98</v>
      </c>
      <c r="N2230" s="36"/>
      <c r="O2230" s="448" t="s">
        <v>754</v>
      </c>
    </row>
    <row r="2231" spans="2:15" s="5" customFormat="1" ht="12.75">
      <c r="B2231" s="195"/>
      <c r="C2231" s="195"/>
      <c r="D2231" s="195"/>
      <c r="E2231" s="733"/>
      <c r="F2231" s="198"/>
      <c r="G2231" s="195"/>
      <c r="H2231" s="195"/>
      <c r="I2231" s="80" t="s">
        <v>2102</v>
      </c>
      <c r="J2231" s="35">
        <v>14.99</v>
      </c>
      <c r="K2231" s="105"/>
      <c r="L2231" s="36"/>
      <c r="M2231" s="1129">
        <f>J2231*0.97</f>
        <v>14.5403</v>
      </c>
      <c r="N2231" s="122" t="s">
        <v>1537</v>
      </c>
      <c r="O2231" s="448" t="s">
        <v>1910</v>
      </c>
    </row>
    <row r="2232" spans="2:15" ht="12.75">
      <c r="B2232" s="195">
        <v>0</v>
      </c>
      <c r="C2232" s="195">
        <v>99</v>
      </c>
      <c r="D2232" s="195">
        <v>0</v>
      </c>
      <c r="F2232" s="198">
        <v>990</v>
      </c>
      <c r="G2232" s="195">
        <v>0</v>
      </c>
      <c r="I2232" s="123" t="s">
        <v>2856</v>
      </c>
      <c r="J2232" s="162">
        <v>7.99</v>
      </c>
      <c r="K2232" s="148">
        <f>J2232*0.97</f>
        <v>7.7503</v>
      </c>
      <c r="L2232" s="149">
        <v>400</v>
      </c>
      <c r="M2232" s="148">
        <f>K2232/L2232*1000</f>
        <v>19.37575</v>
      </c>
      <c r="N2232" s="7"/>
      <c r="O2232" s="24" t="s">
        <v>1145</v>
      </c>
    </row>
    <row r="2233" spans="9:14" ht="12.75">
      <c r="I2233" s="82"/>
      <c r="J2233" s="105"/>
      <c r="K2233" s="35"/>
      <c r="L2233" s="36"/>
      <c r="M2233" s="32"/>
      <c r="N2233" s="7"/>
    </row>
    <row r="2234" spans="9:13" ht="12.75">
      <c r="I2234" s="37"/>
      <c r="J2234" s="38"/>
      <c r="K2234" s="25"/>
      <c r="L2234" s="26"/>
      <c r="M2234" s="25"/>
    </row>
    <row r="2235" spans="9:10" ht="15.75">
      <c r="I2235" s="52" t="s">
        <v>1048</v>
      </c>
      <c r="J2235" s="153"/>
    </row>
    <row r="2236" spans="9:15" ht="12.75">
      <c r="I2236" s="59" t="s">
        <v>1133</v>
      </c>
      <c r="J2236" s="809">
        <v>3.99</v>
      </c>
      <c r="K2236" s="809">
        <f>J2236*0.9</f>
        <v>3.591</v>
      </c>
      <c r="L2236" s="1308">
        <v>350</v>
      </c>
      <c r="M2236" s="809">
        <f>K2236/L2236*1000</f>
        <v>10.26</v>
      </c>
      <c r="N2236" s="1307" t="s">
        <v>1398</v>
      </c>
      <c r="O2236" s="24" t="s">
        <v>458</v>
      </c>
    </row>
    <row r="2237" spans="9:15" ht="12.75">
      <c r="I2237" s="97" t="s">
        <v>1133</v>
      </c>
      <c r="J2237" s="5">
        <v>3.99</v>
      </c>
      <c r="K2237" s="32">
        <f>J2237*0.97</f>
        <v>3.8703000000000003</v>
      </c>
      <c r="L2237">
        <v>350</v>
      </c>
      <c r="M2237" s="1127">
        <f>K2237/L2237*1000</f>
        <v>11.058</v>
      </c>
      <c r="O2237" s="24" t="s">
        <v>2768</v>
      </c>
    </row>
    <row r="2238" spans="9:15" ht="12.75">
      <c r="I2238" s="71" t="s">
        <v>772</v>
      </c>
      <c r="J2238" s="29">
        <v>2.9</v>
      </c>
      <c r="K2238" s="29">
        <f>J2238*0.97</f>
        <v>2.8129999999999997</v>
      </c>
      <c r="L2238" s="30">
        <v>350</v>
      </c>
      <c r="M2238" s="29">
        <f>K2238/L2238*1000</f>
        <v>8.037142857142856</v>
      </c>
      <c r="O2238" s="24" t="s">
        <v>1035</v>
      </c>
    </row>
    <row r="2239" spans="9:15" ht="12.75">
      <c r="I2239" s="37" t="s">
        <v>2228</v>
      </c>
      <c r="J2239" s="5"/>
      <c r="K2239" s="32">
        <v>3.43</v>
      </c>
      <c r="L2239">
        <v>250</v>
      </c>
      <c r="M2239" s="5">
        <f>K2239/L2239*1000</f>
        <v>13.72</v>
      </c>
      <c r="O2239" s="24" t="s">
        <v>1595</v>
      </c>
    </row>
    <row r="2240" spans="9:15" ht="12.75">
      <c r="I2240" s="37" t="s">
        <v>127</v>
      </c>
      <c r="J2240" s="5"/>
      <c r="K2240" s="32">
        <v>3.59</v>
      </c>
      <c r="L2240">
        <v>250</v>
      </c>
      <c r="M2240" s="5">
        <f>K2240/L2240*1000</f>
        <v>14.36</v>
      </c>
      <c r="O2240" s="716" t="s">
        <v>1607</v>
      </c>
    </row>
    <row r="2241" ht="12.75"/>
    <row r="2242" ht="12.75"/>
    <row r="2243" spans="9:10" ht="15.75">
      <c r="I2243" s="178" t="s">
        <v>2981</v>
      </c>
      <c r="J2243" s="153"/>
    </row>
    <row r="2244" spans="2:15" ht="12.75">
      <c r="B2244" s="195">
        <v>20</v>
      </c>
      <c r="C2244" s="195">
        <v>9</v>
      </c>
      <c r="D2244" s="195">
        <v>21</v>
      </c>
      <c r="F2244" s="198">
        <v>1479</v>
      </c>
      <c r="G2244" s="195">
        <f>B2244/F2244*1000</f>
        <v>13.522650439486139</v>
      </c>
      <c r="I2244" s="6" t="s">
        <v>1703</v>
      </c>
      <c r="J2244" s="41"/>
      <c r="K2244" s="41">
        <v>1.99</v>
      </c>
      <c r="L2244" s="42">
        <v>250</v>
      </c>
      <c r="M2244" s="16">
        <f aca="true" t="shared" si="177" ref="M2244:M2249">K2244/L2244*1000</f>
        <v>7.96</v>
      </c>
      <c r="N2244" s="42"/>
      <c r="O2244" s="448" t="s">
        <v>2402</v>
      </c>
    </row>
    <row r="2245" spans="9:15" ht="12.75">
      <c r="I2245" s="40" t="s">
        <v>2521</v>
      </c>
      <c r="J2245" s="32"/>
      <c r="K2245" s="32">
        <v>1.95</v>
      </c>
      <c r="L2245" s="33">
        <v>125</v>
      </c>
      <c r="M2245" s="5">
        <f>K2245/L2245*1000</f>
        <v>15.6</v>
      </c>
      <c r="O2245" s="24" t="s">
        <v>3121</v>
      </c>
    </row>
    <row r="2246" spans="9:15" ht="12.75">
      <c r="I2246" s="43" t="s">
        <v>324</v>
      </c>
      <c r="J2246" s="32">
        <v>8.29</v>
      </c>
      <c r="K2246" s="32">
        <f>J2246*0.97</f>
        <v>8.0413</v>
      </c>
      <c r="L2246" s="33">
        <v>300</v>
      </c>
      <c r="M2246" s="1126">
        <f t="shared" si="177"/>
        <v>26.804333333333332</v>
      </c>
      <c r="O2246" s="24" t="s">
        <v>2455</v>
      </c>
    </row>
    <row r="2247" spans="9:15" ht="12.75">
      <c r="I2247" s="71" t="s">
        <v>1597</v>
      </c>
      <c r="J2247" s="29">
        <v>5.99</v>
      </c>
      <c r="K2247" s="29">
        <f>J2247*0.97</f>
        <v>5.8103</v>
      </c>
      <c r="L2247" s="30">
        <v>300</v>
      </c>
      <c r="M2247" s="29">
        <f t="shared" si="177"/>
        <v>19.367666666666665</v>
      </c>
      <c r="O2247" s="24" t="s">
        <v>2307</v>
      </c>
    </row>
    <row r="2248" spans="9:15" ht="12.75">
      <c r="I2248" s="17" t="s">
        <v>3018</v>
      </c>
      <c r="J2248" s="18">
        <v>2.29</v>
      </c>
      <c r="K2248" s="18">
        <f>J2248*0.97</f>
        <v>2.2213</v>
      </c>
      <c r="L2248" s="19">
        <v>250</v>
      </c>
      <c r="M2248" s="18">
        <f t="shared" si="177"/>
        <v>8.8852</v>
      </c>
      <c r="N2248" s="108" t="s">
        <v>1805</v>
      </c>
      <c r="O2248" s="24" t="s">
        <v>149</v>
      </c>
    </row>
    <row r="2249" spans="9:15" ht="12.75">
      <c r="I2249" s="17" t="s">
        <v>3018</v>
      </c>
      <c r="J2249" s="18">
        <v>3.29</v>
      </c>
      <c r="K2249" s="18">
        <f>J2249*0.97</f>
        <v>3.1913</v>
      </c>
      <c r="L2249" s="19">
        <v>250</v>
      </c>
      <c r="M2249" s="18">
        <f t="shared" si="177"/>
        <v>12.7652</v>
      </c>
      <c r="O2249" s="24" t="s">
        <v>252</v>
      </c>
    </row>
    <row r="2250" spans="9:13" ht="12.75">
      <c r="I2250" s="59"/>
      <c r="J2250" s="5"/>
      <c r="K2250" s="32"/>
      <c r="M2250" s="5"/>
    </row>
    <row r="2251" spans="9:10" ht="15.75">
      <c r="I2251" s="52" t="s">
        <v>177</v>
      </c>
      <c r="J2251" s="153"/>
    </row>
    <row r="2252" spans="2:15" ht="12.75">
      <c r="B2252" s="195">
        <v>11</v>
      </c>
      <c r="C2252" s="195">
        <v>8.5</v>
      </c>
      <c r="D2252" s="195">
        <v>55</v>
      </c>
      <c r="F2252" s="198">
        <v>2425</v>
      </c>
      <c r="G2252" s="195">
        <f>B2252/F2252*1000</f>
        <v>4.536082474226804</v>
      </c>
      <c r="H2252" s="1320">
        <f>M2252/F2252*100000/2</f>
        <v>1400.0000000000002</v>
      </c>
      <c r="I2252" s="86" t="s">
        <v>2980</v>
      </c>
      <c r="J2252" s="25"/>
      <c r="K2252" s="25">
        <v>6.79</v>
      </c>
      <c r="L2252" s="26">
        <v>100</v>
      </c>
      <c r="M2252" s="25">
        <f aca="true" t="shared" si="178" ref="M2252:M2261">K2252/L2252*1000</f>
        <v>67.9</v>
      </c>
      <c r="O2252" s="24" t="s">
        <v>2402</v>
      </c>
    </row>
    <row r="2253" spans="7:15" ht="12.75">
      <c r="G2253" s="648"/>
      <c r="I2253" s="56" t="s">
        <v>2448</v>
      </c>
      <c r="J2253" s="57"/>
      <c r="K2253" s="57">
        <v>5.95</v>
      </c>
      <c r="L2253" s="20">
        <v>200</v>
      </c>
      <c r="M2253" s="57">
        <f>K2253/L2253*1000</f>
        <v>29.750000000000004</v>
      </c>
      <c r="N2253" s="440" t="s">
        <v>2982</v>
      </c>
      <c r="O2253" s="716" t="s">
        <v>2402</v>
      </c>
    </row>
    <row r="2254" spans="2:15" ht="12.75">
      <c r="B2254" s="195">
        <v>12.7</v>
      </c>
      <c r="C2254" s="195">
        <v>4.4</v>
      </c>
      <c r="D2254" s="195">
        <v>54.8</v>
      </c>
      <c r="F2254" s="198">
        <v>2487</v>
      </c>
      <c r="G2254" s="195">
        <f>B2254/F2254*1000</f>
        <v>5.106554081222356</v>
      </c>
      <c r="H2254" s="1320">
        <f>M2254/F2254*100000/2</f>
        <v>330.71974266184156</v>
      </c>
      <c r="I2254" s="2" t="s">
        <v>774</v>
      </c>
      <c r="J2254" s="32"/>
      <c r="K2254" s="32"/>
      <c r="L2254" s="33"/>
      <c r="M2254" s="32">
        <v>16.45</v>
      </c>
      <c r="N2254" s="440"/>
      <c r="O2254" s="448" t="s">
        <v>2402</v>
      </c>
    </row>
    <row r="2255" spans="7:15" ht="12.75">
      <c r="G2255" s="648"/>
      <c r="I2255" s="221" t="s">
        <v>2764</v>
      </c>
      <c r="J2255" s="76"/>
      <c r="K2255" s="76"/>
      <c r="L2255" s="77"/>
      <c r="M2255" s="76">
        <v>16.45</v>
      </c>
      <c r="N2255" s="984"/>
      <c r="O2255" s="1364" t="s">
        <v>2402</v>
      </c>
    </row>
    <row r="2256" spans="2:15" ht="12.75">
      <c r="B2256" s="195">
        <v>14</v>
      </c>
      <c r="C2256" s="195">
        <v>11</v>
      </c>
      <c r="D2256" s="195">
        <v>54</v>
      </c>
      <c r="F2256" s="198">
        <v>2546</v>
      </c>
      <c r="G2256" s="648">
        <f>B2256/F2256*1000</f>
        <v>5.498821681068343</v>
      </c>
      <c r="H2256" s="1320">
        <f>M2256/F2256*100000/2</f>
        <v>1243.7810945273632</v>
      </c>
      <c r="I2256" s="109" t="s">
        <v>197</v>
      </c>
      <c r="J2256" s="22"/>
      <c r="K2256" s="22">
        <v>9.5</v>
      </c>
      <c r="L2256" s="23">
        <v>150</v>
      </c>
      <c r="M2256" s="22">
        <f t="shared" si="178"/>
        <v>63.333333333333336</v>
      </c>
      <c r="N2256" s="350" t="s">
        <v>167</v>
      </c>
      <c r="O2256" s="716" t="s">
        <v>2402</v>
      </c>
    </row>
    <row r="2257" spans="2:15" ht="12.75">
      <c r="B2257" s="195">
        <v>13</v>
      </c>
      <c r="C2257" s="195">
        <v>6.9</v>
      </c>
      <c r="D2257" s="195">
        <v>45</v>
      </c>
      <c r="F2257" s="198">
        <v>2235</v>
      </c>
      <c r="G2257" s="648">
        <f>B2257/F2257*1000</f>
        <v>5.8165548098434</v>
      </c>
      <c r="H2257" s="1320">
        <f>M2257/F2257*100000/2</f>
        <v>1178.2252050708425</v>
      </c>
      <c r="I2257" s="31" t="s">
        <v>2441</v>
      </c>
      <c r="J2257" s="5"/>
      <c r="K2257" s="32">
        <v>7.9</v>
      </c>
      <c r="L2257">
        <v>150</v>
      </c>
      <c r="M2257" s="32">
        <f t="shared" si="178"/>
        <v>52.666666666666664</v>
      </c>
      <c r="N2257" s="327"/>
      <c r="O2257" s="818" t="s">
        <v>2402</v>
      </c>
    </row>
    <row r="2258" spans="2:15" ht="12.75">
      <c r="B2258" s="195">
        <v>14</v>
      </c>
      <c r="C2258" s="195">
        <v>11</v>
      </c>
      <c r="D2258" s="195">
        <v>54</v>
      </c>
      <c r="F2258" s="198">
        <v>2546</v>
      </c>
      <c r="G2258" s="648">
        <f>B2258/F2258*1000</f>
        <v>5.498821681068343</v>
      </c>
      <c r="H2258" s="1320">
        <f>M2258/F2258*100000/2</f>
        <v>1296.1508248232522</v>
      </c>
      <c r="I2258" s="31" t="s">
        <v>2442</v>
      </c>
      <c r="J2258" s="5"/>
      <c r="K2258" s="32">
        <v>9.9</v>
      </c>
      <c r="L2258">
        <v>150</v>
      </c>
      <c r="M2258" s="32">
        <f t="shared" si="178"/>
        <v>66</v>
      </c>
      <c r="O2258" s="818" t="s">
        <v>2402</v>
      </c>
    </row>
    <row r="2259" spans="7:15" ht="12.75">
      <c r="G2259" s="648"/>
      <c r="I2259" s="1365" t="s">
        <v>198</v>
      </c>
      <c r="J2259" s="222"/>
      <c r="K2259" s="1366">
        <v>64</v>
      </c>
      <c r="L2259" s="1367">
        <v>2000</v>
      </c>
      <c r="M2259" s="1366">
        <f t="shared" si="178"/>
        <v>32</v>
      </c>
      <c r="N2259" s="1367"/>
      <c r="O2259" s="1368" t="s">
        <v>848</v>
      </c>
    </row>
    <row r="2260" spans="2:15" ht="12.75">
      <c r="B2260" s="195">
        <v>12</v>
      </c>
      <c r="C2260" s="195">
        <v>1.6</v>
      </c>
      <c r="D2260" s="195">
        <v>47.1</v>
      </c>
      <c r="F2260" s="198">
        <v>2242</v>
      </c>
      <c r="G2260" s="648">
        <f>B2260/F2260*1000</f>
        <v>5.35236396074933</v>
      </c>
      <c r="H2260" s="1320">
        <f>M2260/F2260*100000/2</f>
        <v>401.20428189116853</v>
      </c>
      <c r="I2260" s="97" t="s">
        <v>843</v>
      </c>
      <c r="J2260" s="41"/>
      <c r="K2260" s="41">
        <v>17.99</v>
      </c>
      <c r="L2260" s="42">
        <v>1000</v>
      </c>
      <c r="M2260" s="41">
        <f t="shared" si="178"/>
        <v>17.99</v>
      </c>
      <c r="N2260" s="23"/>
      <c r="O2260" s="24" t="s">
        <v>2451</v>
      </c>
    </row>
    <row r="2261" spans="2:15" ht="12.75">
      <c r="B2261" s="195">
        <v>12.8</v>
      </c>
      <c r="C2261" s="663">
        <v>0.2</v>
      </c>
      <c r="D2261" s="195">
        <v>52</v>
      </c>
      <c r="F2261" s="198">
        <v>2377</v>
      </c>
      <c r="G2261" s="648">
        <f>B2261/F2261*1000</f>
        <v>5.384938998737906</v>
      </c>
      <c r="H2261" s="1320">
        <f>M2261/F2261*100000/2</f>
        <v>470.6562894404712</v>
      </c>
      <c r="I2261" s="97" t="s">
        <v>178</v>
      </c>
      <c r="J2261" s="41"/>
      <c r="K2261" s="41">
        <v>8.95</v>
      </c>
      <c r="L2261" s="42">
        <v>400</v>
      </c>
      <c r="M2261" s="32">
        <f t="shared" si="178"/>
        <v>22.375</v>
      </c>
      <c r="N2261" s="23"/>
      <c r="O2261" s="24" t="s">
        <v>2451</v>
      </c>
    </row>
    <row r="2262" spans="3:14" ht="12.75">
      <c r="C2262" s="663" t="s">
        <v>1797</v>
      </c>
      <c r="G2262" s="648"/>
      <c r="I2262" s="97"/>
      <c r="J2262" s="41"/>
      <c r="K2262" s="41"/>
      <c r="L2262" s="42"/>
      <c r="M2262" s="41"/>
      <c r="N2262" s="23"/>
    </row>
    <row r="2263" spans="7:14" ht="12.75">
      <c r="G2263" s="648"/>
      <c r="I2263" s="97"/>
      <c r="J2263" s="41"/>
      <c r="K2263" s="41"/>
      <c r="L2263" s="42"/>
      <c r="M2263" s="41"/>
      <c r="N2263" s="23"/>
    </row>
    <row r="2264" spans="9:13" ht="12.75">
      <c r="I2264" s="59"/>
      <c r="J2264" s="5"/>
      <c r="K2264" s="32"/>
      <c r="M2264" s="5"/>
    </row>
    <row r="2265" spans="9:10" ht="15.75">
      <c r="I2265" s="52" t="s">
        <v>1091</v>
      </c>
      <c r="J2265" s="153"/>
    </row>
    <row r="2266" spans="2:15" ht="12.75">
      <c r="B2266" s="195">
        <v>0</v>
      </c>
      <c r="C2266" s="195">
        <v>0</v>
      </c>
      <c r="D2266" s="195">
        <v>100</v>
      </c>
      <c r="F2266" s="198">
        <v>3700</v>
      </c>
      <c r="G2266" s="648">
        <f>B2266/F2266*1000</f>
        <v>0</v>
      </c>
      <c r="I2266" s="2" t="s">
        <v>2553</v>
      </c>
      <c r="J2266" s="5">
        <v>8.29</v>
      </c>
      <c r="K2266" s="32">
        <f>J2266*0.97</f>
        <v>8.0413</v>
      </c>
      <c r="L2266">
        <v>250</v>
      </c>
      <c r="M2266" s="25">
        <f>K2266/L2266*1000</f>
        <v>32.1652</v>
      </c>
      <c r="O2266" s="24" t="s">
        <v>2065</v>
      </c>
    </row>
    <row r="2267" spans="2:15" ht="12.75">
      <c r="B2267" s="195">
        <v>0</v>
      </c>
      <c r="C2267" s="195">
        <v>0</v>
      </c>
      <c r="D2267" s="195">
        <v>100</v>
      </c>
      <c r="F2267" s="198">
        <v>3700</v>
      </c>
      <c r="G2267" s="648">
        <f>B2267/F2267*1000</f>
        <v>0</v>
      </c>
      <c r="I2267" s="399" t="s">
        <v>127</v>
      </c>
      <c r="J2267" s="400"/>
      <c r="K2267" s="400">
        <v>8.99</v>
      </c>
      <c r="L2267" s="395">
        <v>250</v>
      </c>
      <c r="M2267" s="490">
        <f>K2267/L2267*1000</f>
        <v>35.96</v>
      </c>
      <c r="O2267" s="716" t="s">
        <v>2065</v>
      </c>
    </row>
    <row r="2268" spans="2:15" ht="12.75">
      <c r="B2268" s="195">
        <v>0</v>
      </c>
      <c r="C2268" s="195">
        <v>0</v>
      </c>
      <c r="D2268" s="195">
        <v>100</v>
      </c>
      <c r="F2268" s="198">
        <v>3700</v>
      </c>
      <c r="G2268" s="648">
        <f>B2268/F2268*1000</f>
        <v>0</v>
      </c>
      <c r="I2268" s="1" t="s">
        <v>1510</v>
      </c>
      <c r="J2268" s="5">
        <v>3.29</v>
      </c>
      <c r="K2268" s="32">
        <f>J2268*0.97</f>
        <v>3.1913</v>
      </c>
      <c r="L2268">
        <v>100</v>
      </c>
      <c r="M2268" s="32">
        <f>K2268/L2268*1000</f>
        <v>31.912999999999997</v>
      </c>
      <c r="O2268" s="24" t="s">
        <v>2065</v>
      </c>
    </row>
    <row r="2269" spans="9:14" ht="15.75" customHeight="1">
      <c r="I2269" s="86"/>
      <c r="J2269" s="66"/>
      <c r="K2269" s="32"/>
      <c r="L2269" s="33"/>
      <c r="M2269" s="32"/>
      <c r="N2269" s="140"/>
    </row>
    <row r="2270" spans="9:14" ht="15.75" customHeight="1">
      <c r="I2270" s="284" t="s">
        <v>1784</v>
      </c>
      <c r="J2270" s="55"/>
      <c r="K2270" s="16"/>
      <c r="L2270" s="7"/>
      <c r="M2270" s="16"/>
      <c r="N2270" s="74"/>
    </row>
    <row r="2271" spans="2:15" s="391" customFormat="1" ht="15.75" customHeight="1">
      <c r="B2271" s="441"/>
      <c r="C2271" s="441"/>
      <c r="D2271" s="441"/>
      <c r="E2271" s="748"/>
      <c r="F2271" s="442"/>
      <c r="G2271" s="441"/>
      <c r="H2271" s="441"/>
      <c r="I2271" s="31" t="s">
        <v>1379</v>
      </c>
      <c r="J2271" s="379"/>
      <c r="K2271" s="321">
        <v>2.89</v>
      </c>
      <c r="L2271" s="447">
        <v>200</v>
      </c>
      <c r="M2271" s="321">
        <f aca="true" t="shared" si="179" ref="M2271:M2277">K2271/L2271*1000</f>
        <v>14.450000000000001</v>
      </c>
      <c r="N2271" s="397"/>
      <c r="O2271" s="392" t="s">
        <v>1539</v>
      </c>
    </row>
    <row r="2272" spans="9:15" ht="15.75" customHeight="1">
      <c r="I2272" s="15" t="s">
        <v>1715</v>
      </c>
      <c r="J2272" s="55"/>
      <c r="K2272" s="16">
        <v>1.19</v>
      </c>
      <c r="L2272" s="7">
        <v>400</v>
      </c>
      <c r="M2272" s="16">
        <f t="shared" si="179"/>
        <v>2.9749999999999996</v>
      </c>
      <c r="N2272" s="74"/>
      <c r="O2272" s="24" t="s">
        <v>1705</v>
      </c>
    </row>
    <row r="2273" spans="9:15" ht="15.75" customHeight="1">
      <c r="I2273" s="174" t="s">
        <v>1715</v>
      </c>
      <c r="J2273" s="164"/>
      <c r="K2273" s="68">
        <v>0.99</v>
      </c>
      <c r="L2273" s="69">
        <v>400</v>
      </c>
      <c r="M2273" s="68">
        <f t="shared" si="179"/>
        <v>2.4749999999999996</v>
      </c>
      <c r="N2273" s="74"/>
      <c r="O2273" s="24" t="s">
        <v>1539</v>
      </c>
    </row>
    <row r="2274" spans="9:15" ht="15.75" customHeight="1">
      <c r="I2274" s="277" t="s">
        <v>1113</v>
      </c>
      <c r="J2274" s="55"/>
      <c r="K2274" s="57">
        <v>0.99</v>
      </c>
      <c r="L2274" s="20">
        <v>400</v>
      </c>
      <c r="M2274" s="57">
        <f t="shared" si="179"/>
        <v>2.4749999999999996</v>
      </c>
      <c r="N2274" s="74"/>
      <c r="O2274" s="24" t="s">
        <v>2013</v>
      </c>
    </row>
    <row r="2275" spans="2:15" ht="15.75" customHeight="1">
      <c r="B2275" s="195">
        <v>5.2</v>
      </c>
      <c r="C2275" s="195">
        <v>57</v>
      </c>
      <c r="D2275" s="195">
        <v>27</v>
      </c>
      <c r="F2275" s="198">
        <v>2117</v>
      </c>
      <c r="G2275" s="195">
        <f>B2275/F2275*1000</f>
        <v>2.4563060935285783</v>
      </c>
      <c r="I2275" s="415" t="s">
        <v>826</v>
      </c>
      <c r="J2275" s="55"/>
      <c r="K2275" s="16">
        <v>1.49</v>
      </c>
      <c r="L2275" s="7">
        <v>400</v>
      </c>
      <c r="M2275" s="16">
        <f>K2275/L2275*1000</f>
        <v>3.725</v>
      </c>
      <c r="N2275" s="211"/>
      <c r="O2275" s="24" t="s">
        <v>2065</v>
      </c>
    </row>
    <row r="2276" spans="2:15" ht="15.75" customHeight="1">
      <c r="B2276" s="1131">
        <v>5.6</v>
      </c>
      <c r="C2276" s="1131">
        <v>62.5</v>
      </c>
      <c r="D2276" s="1131">
        <v>25.7</v>
      </c>
      <c r="E2276" s="1132"/>
      <c r="F2276" s="1133">
        <v>2109</v>
      </c>
      <c r="G2276" s="1131">
        <f>B2276/F2276*1000</f>
        <v>2.6552868658131814</v>
      </c>
      <c r="H2276" s="1131"/>
      <c r="I2276" s="511" t="s">
        <v>480</v>
      </c>
      <c r="J2276" s="434"/>
      <c r="K2276" s="408">
        <v>0.99</v>
      </c>
      <c r="L2276" s="409">
        <v>400</v>
      </c>
      <c r="M2276" s="408">
        <f t="shared" si="179"/>
        <v>2.4749999999999996</v>
      </c>
      <c r="N2276" s="211"/>
      <c r="O2276" s="24" t="s">
        <v>1663</v>
      </c>
    </row>
    <row r="2277" spans="2:15" ht="15.75" customHeight="1">
      <c r="B2277" s="1131">
        <v>5.6</v>
      </c>
      <c r="C2277" s="1131">
        <v>62.5</v>
      </c>
      <c r="D2277" s="1131">
        <v>25.7</v>
      </c>
      <c r="E2277" s="1132"/>
      <c r="F2277" s="1133">
        <v>2109</v>
      </c>
      <c r="G2277" s="1131">
        <f>B2277/F2277*1000</f>
        <v>2.6552868658131814</v>
      </c>
      <c r="H2277" s="1131"/>
      <c r="I2277" s="511" t="s">
        <v>480</v>
      </c>
      <c r="J2277" s="434"/>
      <c r="K2277" s="408">
        <v>0.99</v>
      </c>
      <c r="L2277" s="409">
        <v>400</v>
      </c>
      <c r="M2277" s="408">
        <f t="shared" si="179"/>
        <v>2.4749999999999996</v>
      </c>
      <c r="N2277" s="211"/>
      <c r="O2277" s="24" t="s">
        <v>2013</v>
      </c>
    </row>
    <row r="2278" spans="9:14" ht="15.75" customHeight="1">
      <c r="I2278" s="284"/>
      <c r="J2278" s="55"/>
      <c r="K2278" s="16"/>
      <c r="L2278" s="7"/>
      <c r="M2278" s="16"/>
      <c r="N2278" s="74"/>
    </row>
    <row r="2279" spans="6:14" ht="15.75" customHeight="1">
      <c r="F2279" s="102"/>
      <c r="I2279" s="31"/>
      <c r="J2279" s="66"/>
      <c r="K2279" s="32"/>
      <c r="L2279" s="33"/>
      <c r="M2279" s="32"/>
      <c r="N2279" s="74"/>
    </row>
    <row r="2280" spans="9:14" ht="15.75" customHeight="1">
      <c r="I2280" s="284" t="s">
        <v>2615</v>
      </c>
      <c r="J2280" s="370" t="s">
        <v>2883</v>
      </c>
      <c r="K2280" s="16"/>
      <c r="L2280" s="7"/>
      <c r="M2280" s="16"/>
      <c r="N2280" s="74"/>
    </row>
    <row r="2281" spans="2:16" s="632" customFormat="1" ht="15.75" customHeight="1">
      <c r="B2281" s="629"/>
      <c r="C2281" s="629"/>
      <c r="D2281" s="629"/>
      <c r="E2281" s="749"/>
      <c r="F2281" s="630"/>
      <c r="G2281" s="629"/>
      <c r="H2281" s="629"/>
      <c r="I2281" s="43" t="s">
        <v>2316</v>
      </c>
      <c r="J2281" s="44"/>
      <c r="K2281" s="44">
        <v>3.1</v>
      </c>
      <c r="L2281" s="632">
        <v>100</v>
      </c>
      <c r="M2281" s="333">
        <f aca="true" t="shared" si="180" ref="M2281:M2288">K2281/L2281*1000</f>
        <v>31</v>
      </c>
      <c r="N2281" s="1340"/>
      <c r="O2281" s="716" t="s">
        <v>2071</v>
      </c>
      <c r="P2281" s="26" t="s">
        <v>1218</v>
      </c>
    </row>
    <row r="2282" spans="2:16" s="632" customFormat="1" ht="15.75" customHeight="1">
      <c r="B2282" s="629"/>
      <c r="C2282" s="629"/>
      <c r="D2282" s="629"/>
      <c r="E2282" s="749"/>
      <c r="F2282" s="630"/>
      <c r="G2282" s="629"/>
      <c r="H2282" s="629"/>
      <c r="I2282" s="43" t="s">
        <v>982</v>
      </c>
      <c r="J2282" s="44"/>
      <c r="K2282" s="44">
        <v>3.38</v>
      </c>
      <c r="L2282" s="632">
        <v>100</v>
      </c>
      <c r="M2282" s="333">
        <f>K2282/L2282*1000</f>
        <v>33.8</v>
      </c>
      <c r="N2282" s="1340"/>
      <c r="O2282" s="716" t="s">
        <v>2384</v>
      </c>
      <c r="P2282" s="26" t="s">
        <v>1218</v>
      </c>
    </row>
    <row r="2283" spans="2:16" s="632" customFormat="1" ht="15.75" customHeight="1">
      <c r="B2283" s="629"/>
      <c r="C2283" s="629"/>
      <c r="D2283" s="629"/>
      <c r="E2283" s="749"/>
      <c r="F2283" s="630"/>
      <c r="G2283" s="629"/>
      <c r="H2283" s="629"/>
      <c r="I2283" s="43" t="s">
        <v>2315</v>
      </c>
      <c r="J2283" s="44"/>
      <c r="K2283" s="1345">
        <v>37.08</v>
      </c>
      <c r="L2283" s="1412">
        <v>1200</v>
      </c>
      <c r="M2283" s="333">
        <f>K2283/L2283*1000</f>
        <v>30.9</v>
      </c>
      <c r="N2283" s="1340"/>
      <c r="O2283" s="716" t="s">
        <v>2384</v>
      </c>
      <c r="P2283" s="26" t="s">
        <v>1218</v>
      </c>
    </row>
    <row r="2284" spans="2:16" s="632" customFormat="1" ht="15.75" customHeight="1">
      <c r="B2284" s="629"/>
      <c r="C2284" s="629"/>
      <c r="D2284" s="629"/>
      <c r="E2284" s="749"/>
      <c r="F2284" s="630"/>
      <c r="G2284" s="629"/>
      <c r="H2284" s="629"/>
      <c r="I2284" s="43" t="s">
        <v>2315</v>
      </c>
      <c r="J2284" s="44"/>
      <c r="K2284" s="44">
        <v>3.49</v>
      </c>
      <c r="L2284" s="632">
        <v>100</v>
      </c>
      <c r="M2284" s="333">
        <f t="shared" si="180"/>
        <v>34.9</v>
      </c>
      <c r="N2284" s="1340"/>
      <c r="O2284" s="716" t="s">
        <v>2384</v>
      </c>
      <c r="P2284" s="26" t="s">
        <v>1218</v>
      </c>
    </row>
    <row r="2285" spans="2:16" s="632" customFormat="1" ht="15.75" customHeight="1">
      <c r="B2285" s="629"/>
      <c r="C2285" s="629"/>
      <c r="D2285" s="629"/>
      <c r="E2285" s="749"/>
      <c r="F2285" s="630"/>
      <c r="G2285" s="629"/>
      <c r="H2285" s="629"/>
      <c r="I2285" s="37" t="s">
        <v>1613</v>
      </c>
      <c r="J2285" s="400"/>
      <c r="K2285" s="400">
        <v>3.6</v>
      </c>
      <c r="L2285" s="632">
        <v>100</v>
      </c>
      <c r="M2285" s="333">
        <f t="shared" si="180"/>
        <v>36.00000000000001</v>
      </c>
      <c r="N2285" s="1340"/>
      <c r="O2285" s="716" t="s">
        <v>2071</v>
      </c>
      <c r="P2285" s="26" t="s">
        <v>1218</v>
      </c>
    </row>
    <row r="2286" spans="2:15" s="632" customFormat="1" ht="15.75" customHeight="1">
      <c r="B2286" s="629"/>
      <c r="C2286" s="629"/>
      <c r="D2286" s="629"/>
      <c r="E2286" s="749"/>
      <c r="F2286" s="630"/>
      <c r="G2286" s="629"/>
      <c r="H2286" s="629"/>
      <c r="I2286" s="28" t="s">
        <v>2507</v>
      </c>
      <c r="J2286" s="29"/>
      <c r="K2286" s="29">
        <v>3.1</v>
      </c>
      <c r="L2286" s="30">
        <v>100</v>
      </c>
      <c r="M2286" s="29">
        <f t="shared" si="180"/>
        <v>31</v>
      </c>
      <c r="N2286" s="1034" t="s">
        <v>1729</v>
      </c>
      <c r="O2286" s="716" t="s">
        <v>674</v>
      </c>
    </row>
    <row r="2287" spans="2:15" s="632" customFormat="1" ht="15.75" customHeight="1">
      <c r="B2287" s="629">
        <v>5.1</v>
      </c>
      <c r="C2287" s="629">
        <v>49</v>
      </c>
      <c r="D2287" s="629">
        <v>34</v>
      </c>
      <c r="E2287" s="749"/>
      <c r="F2287" s="630">
        <v>1927</v>
      </c>
      <c r="G2287" s="195">
        <f>B2287/F2287*1000</f>
        <v>2.646600934094447</v>
      </c>
      <c r="H2287" s="629"/>
      <c r="I2287" s="71" t="s">
        <v>60</v>
      </c>
      <c r="J2287" s="29"/>
      <c r="K2287" s="29">
        <v>2.9</v>
      </c>
      <c r="L2287" s="30">
        <v>100</v>
      </c>
      <c r="M2287" s="29">
        <f t="shared" si="180"/>
        <v>28.999999999999996</v>
      </c>
      <c r="N2287" s="1034" t="s">
        <v>1729</v>
      </c>
      <c r="O2287" s="634" t="s">
        <v>674</v>
      </c>
    </row>
    <row r="2288" spans="2:15" s="632" customFormat="1" ht="15.75" customHeight="1">
      <c r="B2288" s="629"/>
      <c r="C2288" s="629"/>
      <c r="D2288" s="629"/>
      <c r="E2288" s="749"/>
      <c r="F2288" s="630"/>
      <c r="G2288" s="629"/>
      <c r="H2288" s="629"/>
      <c r="I2288" s="71" t="s">
        <v>2428</v>
      </c>
      <c r="J2288" s="29">
        <v>3.19</v>
      </c>
      <c r="K2288" s="29">
        <f>J2288*0.97</f>
        <v>3.0943</v>
      </c>
      <c r="L2288" s="30">
        <v>100</v>
      </c>
      <c r="M2288" s="29">
        <f t="shared" si="180"/>
        <v>30.943</v>
      </c>
      <c r="N2288" s="115"/>
      <c r="O2288" s="634" t="s">
        <v>2070</v>
      </c>
    </row>
    <row r="2289" spans="2:15" s="632" customFormat="1" ht="15.75" customHeight="1">
      <c r="B2289" s="629"/>
      <c r="C2289" s="629"/>
      <c r="D2289" s="629"/>
      <c r="E2289" s="749"/>
      <c r="F2289" s="630"/>
      <c r="G2289" s="629"/>
      <c r="H2289" s="629"/>
      <c r="I2289" s="71" t="s">
        <v>2428</v>
      </c>
      <c r="J2289" s="29">
        <v>2.19</v>
      </c>
      <c r="K2289" s="29">
        <f>J2289*0.97</f>
        <v>2.1243</v>
      </c>
      <c r="L2289" s="30">
        <v>100</v>
      </c>
      <c r="M2289" s="29">
        <f aca="true" t="shared" si="181" ref="M2289:M2296">K2289/L2289*1000</f>
        <v>21.243</v>
      </c>
      <c r="N2289" s="115"/>
      <c r="O2289" s="634" t="s">
        <v>2174</v>
      </c>
    </row>
    <row r="2290" spans="2:15" s="632" customFormat="1" ht="15.75" customHeight="1">
      <c r="B2290" s="629"/>
      <c r="C2290" s="629"/>
      <c r="D2290" s="629"/>
      <c r="E2290" s="749"/>
      <c r="F2290" s="630"/>
      <c r="G2290" s="629"/>
      <c r="H2290" s="629"/>
      <c r="I2290" s="97" t="s">
        <v>448</v>
      </c>
      <c r="J2290" s="400">
        <v>1.99</v>
      </c>
      <c r="K2290" s="631">
        <f>J2290*0.97</f>
        <v>1.9303</v>
      </c>
      <c r="L2290" s="632">
        <v>100</v>
      </c>
      <c r="M2290" s="333">
        <f t="shared" si="181"/>
        <v>19.303</v>
      </c>
      <c r="N2290" s="633"/>
      <c r="O2290" s="634" t="s">
        <v>2127</v>
      </c>
    </row>
    <row r="2291" spans="2:15" s="632" customFormat="1" ht="15.75" customHeight="1">
      <c r="B2291" s="629">
        <v>10</v>
      </c>
      <c r="C2291" s="629">
        <v>19</v>
      </c>
      <c r="D2291" s="629">
        <v>53</v>
      </c>
      <c r="E2291" s="749"/>
      <c r="F2291" s="630">
        <v>2520</v>
      </c>
      <c r="G2291" s="195">
        <f>B2291/F2291*1000</f>
        <v>3.968253968253968</v>
      </c>
      <c r="H2291" s="195"/>
      <c r="I2291" s="40" t="s">
        <v>513</v>
      </c>
      <c r="J2291" s="400">
        <v>1.59</v>
      </c>
      <c r="K2291" s="631">
        <f>J2291*0.99</f>
        <v>1.5741</v>
      </c>
      <c r="L2291" s="632">
        <v>100</v>
      </c>
      <c r="M2291" s="631">
        <f>K2291/L2291*1000</f>
        <v>15.741000000000001</v>
      </c>
      <c r="N2291" s="397"/>
      <c r="O2291" s="448" t="s">
        <v>2439</v>
      </c>
    </row>
    <row r="2292" spans="2:15" s="632" customFormat="1" ht="15.75" customHeight="1">
      <c r="B2292" s="629">
        <v>8.2</v>
      </c>
      <c r="C2292" s="629">
        <v>32.9</v>
      </c>
      <c r="D2292" s="629">
        <v>46.2</v>
      </c>
      <c r="E2292" s="749"/>
      <c r="F2292" s="630">
        <v>2490</v>
      </c>
      <c r="G2292" s="195">
        <f>B2292/F2292*1000</f>
        <v>3.293172690763052</v>
      </c>
      <c r="H2292" s="195"/>
      <c r="I2292" s="40" t="s">
        <v>514</v>
      </c>
      <c r="J2292" s="400"/>
      <c r="K2292" s="631">
        <v>1.39</v>
      </c>
      <c r="L2292" s="632">
        <v>100</v>
      </c>
      <c r="M2292" s="631">
        <f t="shared" si="181"/>
        <v>13.899999999999999</v>
      </c>
      <c r="N2292" s="397"/>
      <c r="O2292" s="448" t="s">
        <v>2337</v>
      </c>
    </row>
    <row r="2293" spans="2:15" s="632" customFormat="1" ht="15.75" customHeight="1">
      <c r="B2293" s="629">
        <v>8.2</v>
      </c>
      <c r="C2293" s="629">
        <v>32.9</v>
      </c>
      <c r="D2293" s="629">
        <v>46.2</v>
      </c>
      <c r="E2293" s="749"/>
      <c r="F2293" s="630">
        <v>2490</v>
      </c>
      <c r="G2293" s="195">
        <f>B2293/F2293*1000</f>
        <v>3.293172690763052</v>
      </c>
      <c r="H2293" s="195"/>
      <c r="I2293" s="59" t="s">
        <v>515</v>
      </c>
      <c r="J2293" s="631">
        <v>0.99</v>
      </c>
      <c r="K2293" s="631">
        <f>J2293*0.99</f>
        <v>0.9801</v>
      </c>
      <c r="L2293" s="632">
        <v>100</v>
      </c>
      <c r="M2293" s="631">
        <f t="shared" si="181"/>
        <v>9.800999999999998</v>
      </c>
      <c r="N2293" s="397"/>
      <c r="O2293" s="448" t="s">
        <v>2721</v>
      </c>
    </row>
    <row r="2294" spans="2:15" s="632" customFormat="1" ht="15.75" customHeight="1">
      <c r="B2294" s="629"/>
      <c r="C2294" s="629"/>
      <c r="D2294" s="629"/>
      <c r="E2294" s="749"/>
      <c r="F2294" s="630"/>
      <c r="G2294" s="629"/>
      <c r="H2294" s="629"/>
      <c r="I2294" s="31" t="s">
        <v>514</v>
      </c>
      <c r="K2294" s="631">
        <v>1.39</v>
      </c>
      <c r="L2294" s="632">
        <v>100</v>
      </c>
      <c r="M2294" s="631">
        <f t="shared" si="181"/>
        <v>13.899999999999999</v>
      </c>
      <c r="N2294" s="633"/>
      <c r="O2294" s="634" t="s">
        <v>2439</v>
      </c>
    </row>
    <row r="2295" spans="2:16" s="632" customFormat="1" ht="15.75" customHeight="1">
      <c r="B2295" s="629">
        <v>5.4</v>
      </c>
      <c r="C2295" s="629">
        <v>49.6</v>
      </c>
      <c r="D2295" s="629">
        <v>31.8</v>
      </c>
      <c r="E2295" s="749"/>
      <c r="F2295" s="630">
        <v>2180</v>
      </c>
      <c r="G2295" s="195">
        <f aca="true" t="shared" si="182" ref="G2295:G2303">B2295/F2295*1000</f>
        <v>2.477064220183486</v>
      </c>
      <c r="H2295" s="195"/>
      <c r="I2295" s="15" t="s">
        <v>2313</v>
      </c>
      <c r="J2295" s="371">
        <f>F2295/4.18/100</f>
        <v>5.21531100478469</v>
      </c>
      <c r="K2295" s="490">
        <v>0.45</v>
      </c>
      <c r="L2295" s="7">
        <v>100</v>
      </c>
      <c r="M2295" s="129">
        <f>K2295/L2295*1000</f>
        <v>4.500000000000001</v>
      </c>
      <c r="N2295" s="633"/>
      <c r="O2295" s="634" t="s">
        <v>890</v>
      </c>
      <c r="P2295" s="632" t="s">
        <v>1475</v>
      </c>
    </row>
    <row r="2296" spans="2:15" s="632" customFormat="1" ht="15.75" customHeight="1">
      <c r="B2296" s="629">
        <v>10</v>
      </c>
      <c r="C2296" s="629">
        <v>22.8</v>
      </c>
      <c r="D2296" s="629">
        <v>42.8</v>
      </c>
      <c r="E2296" s="749"/>
      <c r="F2296" s="630">
        <v>2276</v>
      </c>
      <c r="G2296" s="195">
        <f t="shared" si="182"/>
        <v>4.393673110720563</v>
      </c>
      <c r="H2296" s="195"/>
      <c r="I2296" s="15" t="s">
        <v>2545</v>
      </c>
      <c r="J2296" s="371">
        <f aca="true" t="shared" si="183" ref="J2296:J2305">F2296/4.18/100</f>
        <v>5.444976076555024</v>
      </c>
      <c r="K2296" s="16">
        <v>0.99</v>
      </c>
      <c r="L2296" s="7">
        <v>125</v>
      </c>
      <c r="M2296" s="16">
        <f t="shared" si="181"/>
        <v>7.92</v>
      </c>
      <c r="N2296" s="633"/>
      <c r="O2296" s="634" t="s">
        <v>289</v>
      </c>
    </row>
    <row r="2297" spans="2:15" ht="15.75" customHeight="1">
      <c r="B2297" s="195">
        <v>8</v>
      </c>
      <c r="C2297" s="195">
        <v>30</v>
      </c>
      <c r="D2297" s="195">
        <v>46</v>
      </c>
      <c r="F2297" s="198">
        <v>2330</v>
      </c>
      <c r="G2297" s="195">
        <f t="shared" si="182"/>
        <v>3.433476394849785</v>
      </c>
      <c r="I2297" s="174" t="s">
        <v>2415</v>
      </c>
      <c r="J2297" s="371">
        <f t="shared" si="183"/>
        <v>5.574162679425838</v>
      </c>
      <c r="K2297" s="419">
        <v>2.25</v>
      </c>
      <c r="L2297" s="420">
        <v>300</v>
      </c>
      <c r="M2297" s="419">
        <f aca="true" t="shared" si="184" ref="M2297:M2308">K2297/L2297*1000</f>
        <v>7.5</v>
      </c>
      <c r="N2297" s="421" t="s">
        <v>1362</v>
      </c>
      <c r="O2297" s="24" t="s">
        <v>2013</v>
      </c>
    </row>
    <row r="2298" spans="2:15" ht="15.75" customHeight="1">
      <c r="B2298" s="195">
        <v>9</v>
      </c>
      <c r="C2298" s="195">
        <v>27</v>
      </c>
      <c r="D2298" s="195">
        <v>50</v>
      </c>
      <c r="F2298" s="198">
        <v>2480</v>
      </c>
      <c r="G2298" s="195">
        <f t="shared" si="182"/>
        <v>3.6290322580645165</v>
      </c>
      <c r="I2298" s="174" t="s">
        <v>1045</v>
      </c>
      <c r="J2298" s="371">
        <f t="shared" si="183"/>
        <v>5.933014354066986</v>
      </c>
      <c r="K2298" s="419">
        <v>2.25</v>
      </c>
      <c r="L2298" s="420">
        <v>300</v>
      </c>
      <c r="M2298" s="419">
        <f t="shared" si="184"/>
        <v>7.5</v>
      </c>
      <c r="N2298" s="421" t="s">
        <v>1362</v>
      </c>
      <c r="O2298" s="24" t="s">
        <v>2013</v>
      </c>
    </row>
    <row r="2299" spans="2:15" ht="15.75" customHeight="1">
      <c r="B2299" s="195">
        <v>7.7</v>
      </c>
      <c r="C2299" s="195">
        <v>33.5</v>
      </c>
      <c r="D2299" s="195">
        <v>42.3</v>
      </c>
      <c r="F2299" s="198">
        <v>2266</v>
      </c>
      <c r="G2299" s="279">
        <f t="shared" si="182"/>
        <v>3.3980582524271843</v>
      </c>
      <c r="H2299" s="279"/>
      <c r="I2299" s="6" t="s">
        <v>1951</v>
      </c>
      <c r="J2299" s="371">
        <f t="shared" si="183"/>
        <v>5.421052631578948</v>
      </c>
      <c r="K2299" s="16">
        <v>1.19</v>
      </c>
      <c r="L2299" s="7">
        <v>125</v>
      </c>
      <c r="M2299" s="16">
        <f>K2299/L2299*1000</f>
        <v>9.52</v>
      </c>
      <c r="N2299" s="74"/>
      <c r="O2299" s="24" t="s">
        <v>415</v>
      </c>
    </row>
    <row r="2300" spans="2:15" ht="15.75" customHeight="1">
      <c r="B2300" s="195">
        <v>9.4</v>
      </c>
      <c r="C2300" s="195">
        <v>35.1</v>
      </c>
      <c r="D2300" s="195">
        <v>42.5</v>
      </c>
      <c r="F2300" s="198">
        <v>2329</v>
      </c>
      <c r="G2300" s="390">
        <f t="shared" si="182"/>
        <v>4.03606698153714</v>
      </c>
      <c r="H2300" s="390"/>
      <c r="I2300" s="174" t="s">
        <v>1951</v>
      </c>
      <c r="J2300" s="371">
        <f t="shared" si="183"/>
        <v>5.571770334928231</v>
      </c>
      <c r="K2300" s="68">
        <v>0.99</v>
      </c>
      <c r="L2300" s="69">
        <v>125</v>
      </c>
      <c r="M2300" s="68">
        <f t="shared" si="184"/>
        <v>7.92</v>
      </c>
      <c r="N2300" s="74"/>
      <c r="O2300" s="24" t="s">
        <v>1930</v>
      </c>
    </row>
    <row r="2301" spans="2:15" ht="15.75" customHeight="1">
      <c r="B2301" s="195">
        <v>9.8</v>
      </c>
      <c r="C2301" s="195">
        <v>17</v>
      </c>
      <c r="D2301" s="195">
        <v>52</v>
      </c>
      <c r="F2301" s="198">
        <v>2535</v>
      </c>
      <c r="G2301" s="195">
        <f t="shared" si="182"/>
        <v>3.8658777120315584</v>
      </c>
      <c r="I2301" s="15" t="s">
        <v>451</v>
      </c>
      <c r="J2301" s="970">
        <f>F2301/4.18/100</f>
        <v>6.064593301435407</v>
      </c>
      <c r="K2301" s="16">
        <v>0.95</v>
      </c>
      <c r="L2301" s="7">
        <v>100</v>
      </c>
      <c r="M2301" s="16">
        <f>K2301/L2301*1000</f>
        <v>9.5</v>
      </c>
      <c r="N2301" s="1034" t="s">
        <v>719</v>
      </c>
      <c r="O2301" s="24" t="s">
        <v>18</v>
      </c>
    </row>
    <row r="2302" spans="2:15" ht="15.75" customHeight="1">
      <c r="B2302" s="195">
        <v>7.9</v>
      </c>
      <c r="C2302" s="195">
        <v>31.2</v>
      </c>
      <c r="D2302" s="195">
        <v>43.9</v>
      </c>
      <c r="F2302" s="198">
        <v>2397</v>
      </c>
      <c r="G2302" s="195">
        <f t="shared" si="182"/>
        <v>3.2957863996662495</v>
      </c>
      <c r="I2302" s="15" t="s">
        <v>2855</v>
      </c>
      <c r="J2302" s="837">
        <f>F2302/4.18/100</f>
        <v>5.73444976076555</v>
      </c>
      <c r="K2302" s="113">
        <v>0.95</v>
      </c>
      <c r="L2302" s="114">
        <v>100</v>
      </c>
      <c r="M2302" s="113">
        <f>K2302/L2302*1000</f>
        <v>9.5</v>
      </c>
      <c r="N2302" s="1034"/>
      <c r="O2302" s="24" t="s">
        <v>2337</v>
      </c>
    </row>
    <row r="2303" spans="2:15" ht="15.75" customHeight="1">
      <c r="B2303" s="195">
        <v>7.9</v>
      </c>
      <c r="C2303" s="195">
        <v>31.2</v>
      </c>
      <c r="D2303" s="195">
        <v>43.9</v>
      </c>
      <c r="F2303" s="198">
        <v>2397</v>
      </c>
      <c r="G2303" s="195">
        <f t="shared" si="182"/>
        <v>3.2957863996662495</v>
      </c>
      <c r="I2303" s="67" t="s">
        <v>2855</v>
      </c>
      <c r="J2303" s="932">
        <f>F2303/4.18/100</f>
        <v>5.73444976076555</v>
      </c>
      <c r="K2303" s="68">
        <v>0.79</v>
      </c>
      <c r="L2303" s="69">
        <v>100</v>
      </c>
      <c r="M2303" s="68">
        <f>K2303/L2303*1000</f>
        <v>7.9</v>
      </c>
      <c r="N2303" s="74"/>
      <c r="O2303" s="24" t="s">
        <v>2584</v>
      </c>
    </row>
    <row r="2304" spans="9:15" ht="15.75" customHeight="1">
      <c r="I2304" s="6" t="s">
        <v>2142</v>
      </c>
      <c r="J2304" s="970">
        <f>F2304/4.18/100</f>
        <v>0</v>
      </c>
      <c r="K2304" s="16">
        <v>0.95</v>
      </c>
      <c r="L2304" s="7">
        <v>100</v>
      </c>
      <c r="M2304" s="16">
        <f>K2304/L2304*1000</f>
        <v>9.5</v>
      </c>
      <c r="N2304" s="74"/>
      <c r="O2304" s="24" t="s">
        <v>2337</v>
      </c>
    </row>
    <row r="2305" spans="9:15" ht="15.75" customHeight="1">
      <c r="I2305" s="123" t="s">
        <v>2142</v>
      </c>
      <c r="J2305" s="1067">
        <f t="shared" si="183"/>
        <v>0</v>
      </c>
      <c r="K2305" s="148">
        <v>0.79</v>
      </c>
      <c r="L2305" s="149">
        <v>100</v>
      </c>
      <c r="M2305" s="148">
        <f>K2305/L2305*1000</f>
        <v>7.9</v>
      </c>
      <c r="N2305" s="74"/>
      <c r="O2305" s="24" t="s">
        <v>2488</v>
      </c>
    </row>
    <row r="2306" spans="9:15" ht="15.75" customHeight="1">
      <c r="I2306" s="67" t="s">
        <v>908</v>
      </c>
      <c r="J2306" s="164"/>
      <c r="K2306" s="68">
        <v>0.79</v>
      </c>
      <c r="L2306" s="69">
        <v>100</v>
      </c>
      <c r="M2306" s="68">
        <f t="shared" si="184"/>
        <v>7.9</v>
      </c>
      <c r="N2306" s="74"/>
      <c r="O2306" s="24" t="s">
        <v>1159</v>
      </c>
    </row>
    <row r="2307" spans="2:15" ht="15.75" customHeight="1">
      <c r="B2307" s="195">
        <v>6.6</v>
      </c>
      <c r="C2307" s="195">
        <v>49.1</v>
      </c>
      <c r="D2307" s="195">
        <v>31.6</v>
      </c>
      <c r="F2307" s="198">
        <v>2191</v>
      </c>
      <c r="G2307" s="195">
        <f>B2307/F2307*1000</f>
        <v>3.012323140118667</v>
      </c>
      <c r="I2307" s="67" t="s">
        <v>2541</v>
      </c>
      <c r="J2307" s="932">
        <f>F2307/4.18/100</f>
        <v>5.241626794258374</v>
      </c>
      <c r="K2307" s="68">
        <v>0.79</v>
      </c>
      <c r="L2307" s="69">
        <v>100</v>
      </c>
      <c r="M2307" s="68">
        <f t="shared" si="184"/>
        <v>7.9</v>
      </c>
      <c r="N2307" s="74"/>
      <c r="O2307" s="24" t="s">
        <v>551</v>
      </c>
    </row>
    <row r="2308" spans="2:15" ht="15.75" customHeight="1">
      <c r="B2308" s="195">
        <v>7.8</v>
      </c>
      <c r="C2308" s="195">
        <v>41.9</v>
      </c>
      <c r="D2308" s="195">
        <v>35.7</v>
      </c>
      <c r="F2308" s="198">
        <v>2169</v>
      </c>
      <c r="G2308" s="195">
        <f>B2308/F2308*1000</f>
        <v>3.5961272475795294</v>
      </c>
      <c r="I2308" s="67" t="s">
        <v>631</v>
      </c>
      <c r="J2308" s="932">
        <f>F2308/4.18/100</f>
        <v>5.188995215311005</v>
      </c>
      <c r="K2308" s="68">
        <v>0.79</v>
      </c>
      <c r="L2308" s="69">
        <v>100</v>
      </c>
      <c r="M2308" s="68">
        <f t="shared" si="184"/>
        <v>7.9</v>
      </c>
      <c r="N2308" s="74"/>
      <c r="O2308" s="24" t="s">
        <v>1038</v>
      </c>
    </row>
    <row r="2309" spans="2:15" ht="15.75" customHeight="1">
      <c r="B2309" s="195">
        <v>7.2</v>
      </c>
      <c r="C2309" s="195">
        <v>44.6</v>
      </c>
      <c r="D2309" s="195">
        <v>33.4</v>
      </c>
      <c r="F2309" s="198">
        <v>2203</v>
      </c>
      <c r="G2309" s="195">
        <f>B2309/F2309*1000</f>
        <v>3.268270540172492</v>
      </c>
      <c r="I2309" s="67" t="s">
        <v>2422</v>
      </c>
      <c r="J2309" s="932">
        <f>F2309/4.18/100</f>
        <v>5.270334928229666</v>
      </c>
      <c r="K2309" s="68">
        <v>0.79</v>
      </c>
      <c r="L2309" s="69">
        <v>100</v>
      </c>
      <c r="M2309" s="68">
        <f>K2309/L2309*1000</f>
        <v>7.9</v>
      </c>
      <c r="N2309" s="74"/>
      <c r="O2309" s="24" t="s">
        <v>1595</v>
      </c>
    </row>
    <row r="2310" spans="2:15" ht="15.75" customHeight="1">
      <c r="B2310" s="195">
        <v>6.8</v>
      </c>
      <c r="C2310" s="195">
        <v>44.2</v>
      </c>
      <c r="D2310" s="195">
        <v>34.8</v>
      </c>
      <c r="F2310" s="198">
        <v>2154</v>
      </c>
      <c r="G2310" s="195">
        <f>B2310/F2310*1000</f>
        <v>3.1569173630454967</v>
      </c>
      <c r="I2310" s="67" t="s">
        <v>3125</v>
      </c>
      <c r="J2310" s="932">
        <f>F2310/4.18/100</f>
        <v>5.15311004784689</v>
      </c>
      <c r="K2310" s="68">
        <v>0.79</v>
      </c>
      <c r="L2310" s="69">
        <v>100</v>
      </c>
      <c r="M2310" s="68">
        <f>K2310/L2310*1000</f>
        <v>7.9</v>
      </c>
      <c r="N2310" s="74"/>
      <c r="O2310" s="24" t="s">
        <v>1159</v>
      </c>
    </row>
    <row r="2311" spans="9:14" ht="15.75" customHeight="1">
      <c r="I2311" s="6"/>
      <c r="J2311" s="55"/>
      <c r="K2311" s="16"/>
      <c r="L2311" s="7"/>
      <c r="M2311" s="16"/>
      <c r="N2311" s="74"/>
    </row>
    <row r="2312" spans="9:14" ht="15.75" customHeight="1">
      <c r="I2312" s="6"/>
      <c r="J2312" s="55"/>
      <c r="K2312" s="16"/>
      <c r="L2312" s="7"/>
      <c r="M2312" s="16"/>
      <c r="N2312" s="74"/>
    </row>
    <row r="2313" spans="9:14" ht="15.75" customHeight="1">
      <c r="I2313" s="1333" t="s">
        <v>760</v>
      </c>
      <c r="J2313" s="55"/>
      <c r="K2313" s="16"/>
      <c r="L2313" s="7"/>
      <c r="M2313" s="16"/>
      <c r="N2313" s="74"/>
    </row>
    <row r="2314" spans="2:15" ht="15.75" customHeight="1">
      <c r="B2314" s="195">
        <v>2</v>
      </c>
      <c r="C2314" s="195">
        <v>73</v>
      </c>
      <c r="D2314" s="195">
        <v>11</v>
      </c>
      <c r="F2314" s="198">
        <v>1700</v>
      </c>
      <c r="G2314" s="195">
        <f>B2314/F2314*1000</f>
        <v>1.176470588235294</v>
      </c>
      <c r="I2314" s="56" t="s">
        <v>761</v>
      </c>
      <c r="J2314" s="55"/>
      <c r="K2314" s="57">
        <v>2.39</v>
      </c>
      <c r="L2314" s="20">
        <v>600</v>
      </c>
      <c r="M2314" s="57">
        <f>K2314/L2314*1000</f>
        <v>3.9833333333333334</v>
      </c>
      <c r="N2314" s="74"/>
      <c r="O2314" s="24" t="s">
        <v>762</v>
      </c>
    </row>
    <row r="2315" spans="2:15" ht="15.75" customHeight="1">
      <c r="B2315" s="195">
        <v>1.9</v>
      </c>
      <c r="C2315" s="195">
        <v>67</v>
      </c>
      <c r="D2315" s="195">
        <v>11</v>
      </c>
      <c r="F2315" s="198">
        <v>1598</v>
      </c>
      <c r="G2315" s="195">
        <f>B2315/F2315*1000</f>
        <v>1.1889862327909886</v>
      </c>
      <c r="I2315" s="56" t="s">
        <v>763</v>
      </c>
      <c r="J2315" s="55"/>
      <c r="K2315" s="16">
        <v>1.49</v>
      </c>
      <c r="L2315" s="7">
        <v>300</v>
      </c>
      <c r="M2315" s="16">
        <f>K2315/L2315*1000</f>
        <v>4.966666666666667</v>
      </c>
      <c r="N2315" s="74" t="s">
        <v>1537</v>
      </c>
      <c r="O2315" s="24" t="s">
        <v>762</v>
      </c>
    </row>
    <row r="2316" spans="9:15" ht="15.75" customHeight="1">
      <c r="I2316" s="37" t="s">
        <v>763</v>
      </c>
      <c r="J2316" s="38"/>
      <c r="K2316" s="25">
        <v>2.99</v>
      </c>
      <c r="L2316" s="26">
        <v>300</v>
      </c>
      <c r="M2316" s="25">
        <f>K2316/L2316*1000</f>
        <v>9.966666666666667</v>
      </c>
      <c r="N2316" s="74"/>
      <c r="O2316" s="24" t="s">
        <v>762</v>
      </c>
    </row>
    <row r="2317" spans="2:15" ht="15.75" customHeight="1">
      <c r="B2317" s="195">
        <v>1.8</v>
      </c>
      <c r="C2317" s="195">
        <v>70</v>
      </c>
      <c r="D2317" s="195">
        <v>12</v>
      </c>
      <c r="F2317" s="198">
        <v>1666</v>
      </c>
      <c r="G2317" s="195">
        <f>B2317/F2317*1000</f>
        <v>1.0804321728691477</v>
      </c>
      <c r="I2317" s="56" t="s">
        <v>764</v>
      </c>
      <c r="J2317" s="55"/>
      <c r="K2317" s="16">
        <v>1.49</v>
      </c>
      <c r="L2317" s="7">
        <v>300</v>
      </c>
      <c r="M2317" s="16">
        <f>K2317/L2317*1000</f>
        <v>4.966666666666667</v>
      </c>
      <c r="N2317" s="74" t="s">
        <v>1537</v>
      </c>
      <c r="O2317" s="24" t="s">
        <v>762</v>
      </c>
    </row>
    <row r="2318" spans="9:15" ht="15.75" customHeight="1">
      <c r="I2318" s="37" t="s">
        <v>764</v>
      </c>
      <c r="J2318" s="38"/>
      <c r="K2318" s="25">
        <v>2.99</v>
      </c>
      <c r="L2318" s="26">
        <v>300</v>
      </c>
      <c r="M2318" s="25">
        <f>K2318/L2318*1000</f>
        <v>9.966666666666667</v>
      </c>
      <c r="N2318" s="74"/>
      <c r="O2318" s="24" t="s">
        <v>762</v>
      </c>
    </row>
    <row r="2319" spans="9:14" ht="15.75" customHeight="1">
      <c r="I2319" s="6"/>
      <c r="J2319" s="55"/>
      <c r="K2319" s="16"/>
      <c r="L2319" s="7"/>
      <c r="M2319" s="16"/>
      <c r="N2319" s="74"/>
    </row>
    <row r="2320" spans="9:14" ht="15.75" customHeight="1">
      <c r="I2320" s="6"/>
      <c r="J2320" s="55"/>
      <c r="K2320" s="16"/>
      <c r="L2320" s="7"/>
      <c r="M2320" s="16"/>
      <c r="N2320" s="74"/>
    </row>
    <row r="2321" spans="9:14" ht="15.75" customHeight="1">
      <c r="I2321" s="355" t="s">
        <v>1250</v>
      </c>
      <c r="J2321" s="55"/>
      <c r="K2321" s="16"/>
      <c r="L2321" s="7"/>
      <c r="M2321" s="16"/>
      <c r="N2321" s="74"/>
    </row>
    <row r="2322" spans="9:15" ht="15.75" customHeight="1">
      <c r="I2322" s="59" t="s">
        <v>1249</v>
      </c>
      <c r="J2322" s="55"/>
      <c r="K2322" s="276">
        <v>79.66</v>
      </c>
      <c r="L2322" s="33">
        <v>3000</v>
      </c>
      <c r="M2322" s="32">
        <f>K2322/L2322*1000</f>
        <v>26.55333333333333</v>
      </c>
      <c r="N2322" s="74"/>
      <c r="O2322" s="88" t="s">
        <v>3180</v>
      </c>
    </row>
    <row r="2323" spans="9:15" ht="15.75" customHeight="1">
      <c r="I2323" s="1468" t="s">
        <v>1249</v>
      </c>
      <c r="J2323" s="1502"/>
      <c r="K2323" s="1504">
        <v>23.9</v>
      </c>
      <c r="L2323" s="1471">
        <v>1000</v>
      </c>
      <c r="M2323" s="1470">
        <f>K2323/L2323*1000</f>
        <v>23.9</v>
      </c>
      <c r="N2323" s="74"/>
      <c r="O2323" s="24" t="s">
        <v>3131</v>
      </c>
    </row>
    <row r="2324" spans="9:15" ht="15.75" customHeight="1">
      <c r="I2324" s="1482" t="s">
        <v>1249</v>
      </c>
      <c r="J2324" s="1483"/>
      <c r="K2324" s="1506">
        <v>22.9</v>
      </c>
      <c r="L2324" s="1474">
        <v>1000</v>
      </c>
      <c r="M2324" s="1473">
        <f>K2324/L2324*1000</f>
        <v>22.9</v>
      </c>
      <c r="N2324" s="74"/>
      <c r="O2324" s="24" t="s">
        <v>2514</v>
      </c>
    </row>
    <row r="2325" spans="9:15" ht="15.75" customHeight="1">
      <c r="I2325" s="31" t="s">
        <v>388</v>
      </c>
      <c r="J2325" s="161"/>
      <c r="K2325" s="32"/>
      <c r="L2325" s="93"/>
      <c r="M2325" s="92">
        <v>65</v>
      </c>
      <c r="N2325" s="74"/>
      <c r="O2325" s="716" t="s">
        <v>2514</v>
      </c>
    </row>
    <row r="2326" spans="9:15" ht="15.75" customHeight="1">
      <c r="I2326" s="31" t="s">
        <v>389</v>
      </c>
      <c r="J2326" s="161"/>
      <c r="K2326" s="92"/>
      <c r="L2326" s="93"/>
      <c r="M2326" s="92">
        <v>80</v>
      </c>
      <c r="N2326" s="74"/>
      <c r="O2326" s="716" t="s">
        <v>2514</v>
      </c>
    </row>
    <row r="2327" spans="9:15" ht="15.75" customHeight="1">
      <c r="I2327" s="59" t="s">
        <v>309</v>
      </c>
      <c r="J2327" s="55"/>
      <c r="K2327" s="32">
        <v>99</v>
      </c>
      <c r="L2327" s="33">
        <v>4000</v>
      </c>
      <c r="M2327" s="32">
        <f>K2327/L2327*1000</f>
        <v>24.75</v>
      </c>
      <c r="N2327" s="74"/>
      <c r="O2327" s="24" t="s">
        <v>2337</v>
      </c>
    </row>
    <row r="2328" spans="9:15" ht="15.75" customHeight="1">
      <c r="I2328" s="109" t="s">
        <v>309</v>
      </c>
      <c r="J2328" s="120"/>
      <c r="K2328" s="22">
        <v>112.5</v>
      </c>
      <c r="L2328" s="23">
        <v>5000</v>
      </c>
      <c r="M2328" s="22">
        <f>K2328/L2328*1000</f>
        <v>22.5</v>
      </c>
      <c r="N2328" s="74"/>
      <c r="O2328" s="24" t="s">
        <v>2721</v>
      </c>
    </row>
    <row r="2329" spans="9:15" ht="15.75" customHeight="1">
      <c r="I2329" s="109" t="s">
        <v>309</v>
      </c>
      <c r="J2329" s="120"/>
      <c r="K2329" s="22">
        <v>81</v>
      </c>
      <c r="L2329" s="23">
        <v>4000</v>
      </c>
      <c r="M2329" s="22">
        <f>K2329/L2329*1000</f>
        <v>20.25</v>
      </c>
      <c r="N2329" s="74"/>
      <c r="O2329" s="24" t="s">
        <v>689</v>
      </c>
    </row>
    <row r="2330" spans="9:15" ht="15.75" customHeight="1">
      <c r="I2330" s="109" t="s">
        <v>309</v>
      </c>
      <c r="J2330" s="120"/>
      <c r="K2330" s="22">
        <v>62</v>
      </c>
      <c r="L2330" s="23">
        <v>3000</v>
      </c>
      <c r="M2330" s="22">
        <f>K2330/L2330*1000</f>
        <v>20.666666666666668</v>
      </c>
      <c r="N2330" s="74"/>
      <c r="O2330" s="24" t="s">
        <v>36</v>
      </c>
    </row>
    <row r="2331" spans="9:15" ht="15.75" customHeight="1">
      <c r="I2331" s="109" t="s">
        <v>2091</v>
      </c>
      <c r="J2331" s="120"/>
      <c r="K2331" s="22">
        <v>37</v>
      </c>
      <c r="L2331" s="23">
        <v>2000</v>
      </c>
      <c r="M2331" s="22">
        <f>K2331/L2331*1000</f>
        <v>18.5</v>
      </c>
      <c r="N2331" s="74"/>
      <c r="O2331" s="24" t="s">
        <v>2613</v>
      </c>
    </row>
    <row r="2332" spans="9:15" ht="15.75" customHeight="1">
      <c r="I2332" s="37" t="s">
        <v>287</v>
      </c>
      <c r="J2332" s="66">
        <v>2.9</v>
      </c>
      <c r="K2332" s="32">
        <f>J2332*0.97</f>
        <v>2.8129999999999997</v>
      </c>
      <c r="L2332" s="33">
        <v>100</v>
      </c>
      <c r="M2332" s="32">
        <f aca="true" t="shared" si="185" ref="M2332:M2341">K2332/L2332*1000</f>
        <v>28.13</v>
      </c>
      <c r="N2332" s="74"/>
      <c r="O2332" s="24" t="s">
        <v>2750</v>
      </c>
    </row>
    <row r="2333" spans="9:15" ht="15.75" customHeight="1">
      <c r="I2333" s="37" t="s">
        <v>780</v>
      </c>
      <c r="J2333" s="66">
        <v>3.6</v>
      </c>
      <c r="K2333" s="32">
        <f>J2333*0.97</f>
        <v>3.492</v>
      </c>
      <c r="L2333" s="33">
        <v>100</v>
      </c>
      <c r="M2333" s="32">
        <f t="shared" si="185"/>
        <v>34.92</v>
      </c>
      <c r="N2333" s="74"/>
      <c r="O2333" s="24" t="s">
        <v>2864</v>
      </c>
    </row>
    <row r="2334" spans="9:15" ht="15.75" customHeight="1">
      <c r="I2334" s="2" t="s">
        <v>103</v>
      </c>
      <c r="J2334" s="161">
        <v>3.69</v>
      </c>
      <c r="K2334" s="32">
        <f>J2334*0.97</f>
        <v>3.5793</v>
      </c>
      <c r="L2334" s="93">
        <v>100</v>
      </c>
      <c r="M2334" s="92">
        <f>K2334/L2334*1000</f>
        <v>35.793</v>
      </c>
      <c r="N2334" s="74"/>
      <c r="O2334" s="448" t="s">
        <v>2434</v>
      </c>
    </row>
    <row r="2335" spans="9:15" ht="15.75" customHeight="1">
      <c r="I2335" s="2" t="s">
        <v>3006</v>
      </c>
      <c r="J2335" s="161"/>
      <c r="K2335" s="92">
        <v>2.95</v>
      </c>
      <c r="L2335" s="93">
        <v>100</v>
      </c>
      <c r="M2335" s="92">
        <f>K2335/L2335*1000</f>
        <v>29.500000000000004</v>
      </c>
      <c r="N2335" s="74"/>
      <c r="O2335" s="448" t="s">
        <v>2337</v>
      </c>
    </row>
    <row r="2336" spans="9:15" ht="15.75" customHeight="1">
      <c r="I2336" s="31" t="s">
        <v>104</v>
      </c>
      <c r="J2336" s="161"/>
      <c r="K2336" s="92">
        <v>3.59</v>
      </c>
      <c r="L2336" s="93">
        <v>100</v>
      </c>
      <c r="M2336" s="92">
        <f>K2336/L2336*1000</f>
        <v>35.9</v>
      </c>
      <c r="N2336" s="74"/>
      <c r="O2336" s="448" t="s">
        <v>2337</v>
      </c>
    </row>
    <row r="2337" spans="9:15" ht="15.75" customHeight="1">
      <c r="I2337" s="31" t="s">
        <v>714</v>
      </c>
      <c r="J2337" s="161"/>
      <c r="K2337" s="92">
        <v>3.59</v>
      </c>
      <c r="L2337" s="93">
        <v>100</v>
      </c>
      <c r="M2337" s="92">
        <f t="shared" si="185"/>
        <v>35.9</v>
      </c>
      <c r="N2337" s="74"/>
      <c r="O2337" s="448" t="s">
        <v>2337</v>
      </c>
    </row>
    <row r="2338" spans="9:15" ht="15.75" customHeight="1">
      <c r="I2338" s="43" t="s">
        <v>2106</v>
      </c>
      <c r="J2338" s="161"/>
      <c r="K2338" s="92">
        <v>3.89</v>
      </c>
      <c r="L2338" s="93">
        <v>50</v>
      </c>
      <c r="M2338" s="92">
        <f>K2338/L2338*1000</f>
        <v>77.80000000000001</v>
      </c>
      <c r="N2338" s="121"/>
      <c r="O2338" s="775" t="s">
        <v>458</v>
      </c>
    </row>
    <row r="2339" spans="9:15" ht="15.75" customHeight="1">
      <c r="I2339" s="2" t="s">
        <v>3041</v>
      </c>
      <c r="J2339" s="161">
        <v>3.49</v>
      </c>
      <c r="K2339" s="92">
        <f>J2339*0.97</f>
        <v>3.3853</v>
      </c>
      <c r="L2339" s="1068">
        <v>80</v>
      </c>
      <c r="M2339" s="92">
        <f>K2339/L2339*1000</f>
        <v>42.31625</v>
      </c>
      <c r="N2339" s="74"/>
      <c r="O2339" s="775" t="s">
        <v>458</v>
      </c>
    </row>
    <row r="2340" spans="9:15" ht="15.75" customHeight="1">
      <c r="I2340" s="71" t="s">
        <v>3041</v>
      </c>
      <c r="J2340" s="96">
        <v>2.9</v>
      </c>
      <c r="K2340" s="29">
        <f>J2340*0.97</f>
        <v>2.8129999999999997</v>
      </c>
      <c r="L2340" s="1069">
        <v>100</v>
      </c>
      <c r="M2340" s="29">
        <f t="shared" si="185"/>
        <v>28.13</v>
      </c>
      <c r="N2340" s="74"/>
      <c r="O2340" s="24" t="s">
        <v>219</v>
      </c>
    </row>
    <row r="2341" spans="9:15" ht="15.75" customHeight="1">
      <c r="I2341" s="2" t="s">
        <v>2317</v>
      </c>
      <c r="J2341" s="161">
        <v>2.2</v>
      </c>
      <c r="K2341" s="92">
        <f>J2341*0.97</f>
        <v>2.134</v>
      </c>
      <c r="L2341" s="93">
        <v>100</v>
      </c>
      <c r="M2341" s="92">
        <f t="shared" si="185"/>
        <v>21.339999999999996</v>
      </c>
      <c r="N2341" s="74"/>
      <c r="O2341" s="24" t="s">
        <v>219</v>
      </c>
    </row>
    <row r="2342" spans="9:15" ht="15.75" customHeight="1">
      <c r="I2342" s="583" t="s">
        <v>470</v>
      </c>
      <c r="J2342" s="161"/>
      <c r="K2342" s="92"/>
      <c r="L2342" s="93"/>
      <c r="M2342" s="92"/>
      <c r="N2342" s="74"/>
      <c r="O2342" s="448" t="s">
        <v>2337</v>
      </c>
    </row>
    <row r="2343" spans="2:14" ht="15.75" customHeight="1">
      <c r="B2343" s="278"/>
      <c r="C2343" s="278"/>
      <c r="I2343" s="52" t="s">
        <v>3037</v>
      </c>
      <c r="J2343" s="38"/>
      <c r="K2343" s="25"/>
      <c r="L2343" s="26"/>
      <c r="M2343" s="25"/>
      <c r="N2343" s="74"/>
    </row>
    <row r="2344" spans="2:15" ht="15.75" customHeight="1">
      <c r="B2344" s="278"/>
      <c r="C2344" s="278"/>
      <c r="I2344" s="424" t="s">
        <v>2566</v>
      </c>
      <c r="J2344" s="163"/>
      <c r="K2344" s="276">
        <v>2.29</v>
      </c>
      <c r="L2344" s="297">
        <v>125</v>
      </c>
      <c r="M2344" s="276">
        <f>K2344/L2344*1000</f>
        <v>18.32</v>
      </c>
      <c r="N2344" s="275"/>
      <c r="O2344" s="448" t="s">
        <v>416</v>
      </c>
    </row>
    <row r="2345" spans="2:15" ht="15.75" customHeight="1">
      <c r="B2345" s="278"/>
      <c r="C2345" s="278"/>
      <c r="I2345" s="1021" t="s">
        <v>2566</v>
      </c>
      <c r="J2345" s="158"/>
      <c r="K2345" s="116">
        <v>2.19</v>
      </c>
      <c r="L2345" s="117">
        <v>125</v>
      </c>
      <c r="M2345" s="116">
        <f>K2345/L2345*1000</f>
        <v>17.52</v>
      </c>
      <c r="N2345" s="275"/>
      <c r="O2345" s="716" t="s">
        <v>18</v>
      </c>
    </row>
    <row r="2346" spans="9:15" ht="15.75" customHeight="1">
      <c r="I2346" s="424" t="s">
        <v>1426</v>
      </c>
      <c r="J2346" s="163"/>
      <c r="K2346" s="276">
        <v>2.29</v>
      </c>
      <c r="L2346" s="297">
        <v>125</v>
      </c>
      <c r="M2346" s="276">
        <f>K2346/L2346*1000</f>
        <v>18.32</v>
      </c>
      <c r="N2346" s="74"/>
      <c r="O2346" s="448" t="s">
        <v>1424</v>
      </c>
    </row>
    <row r="2347" spans="9:15" ht="15.75" customHeight="1">
      <c r="I2347" s="425" t="s">
        <v>919</v>
      </c>
      <c r="J2347" s="66"/>
      <c r="K2347" s="25">
        <v>2.29</v>
      </c>
      <c r="L2347" s="33">
        <v>125</v>
      </c>
      <c r="M2347" s="32">
        <f>K2347/L2347*1000</f>
        <v>18.32</v>
      </c>
      <c r="N2347" s="275"/>
      <c r="O2347" s="24" t="s">
        <v>1663</v>
      </c>
    </row>
    <row r="2348" spans="9:14" ht="15.75" customHeight="1">
      <c r="I2348" s="200"/>
      <c r="J2348" s="66"/>
      <c r="K2348" s="92"/>
      <c r="L2348" s="33"/>
      <c r="M2348" s="32"/>
      <c r="N2348" s="74"/>
    </row>
    <row r="2349" spans="9:14" ht="15.75" customHeight="1">
      <c r="I2349" s="201"/>
      <c r="J2349" s="66"/>
      <c r="K2349" s="32"/>
      <c r="L2349" s="33"/>
      <c r="M2349" s="32"/>
      <c r="N2349" s="74"/>
    </row>
    <row r="2350" spans="9:14" ht="15.75" customHeight="1">
      <c r="I2350" s="91" t="s">
        <v>916</v>
      </c>
      <c r="J2350" s="38"/>
      <c r="K2350" s="25"/>
      <c r="L2350" s="26"/>
      <c r="M2350" s="25"/>
      <c r="N2350" s="74"/>
    </row>
    <row r="2351" spans="9:15" ht="14.25" customHeight="1">
      <c r="I2351" s="97" t="s">
        <v>1768</v>
      </c>
      <c r="J2351" s="163"/>
      <c r="K2351" s="163">
        <v>3.99</v>
      </c>
      <c r="L2351" s="297">
        <v>165</v>
      </c>
      <c r="M2351" s="276">
        <f>K2351/L2351*1000</f>
        <v>24.181818181818183</v>
      </c>
      <c r="N2351" s="971"/>
      <c r="O2351" s="448" t="s">
        <v>3144</v>
      </c>
    </row>
    <row r="2352" spans="9:15" ht="14.25" customHeight="1">
      <c r="I2352" s="71" t="s">
        <v>1768</v>
      </c>
      <c r="J2352" s="158"/>
      <c r="K2352" s="158">
        <v>3.89</v>
      </c>
      <c r="L2352" s="117">
        <v>165</v>
      </c>
      <c r="M2352" s="116">
        <f>K2352/L2352*1000</f>
        <v>23.575757575757578</v>
      </c>
      <c r="N2352" s="971"/>
      <c r="O2352" s="448" t="s">
        <v>416</v>
      </c>
    </row>
    <row r="2353" spans="9:15" ht="14.25" customHeight="1">
      <c r="I2353" s="71" t="s">
        <v>1768</v>
      </c>
      <c r="J2353" s="158"/>
      <c r="K2353" s="158">
        <v>3.49</v>
      </c>
      <c r="L2353" s="117">
        <v>165</v>
      </c>
      <c r="M2353" s="116">
        <f>K2353/L2353*1000</f>
        <v>21.151515151515152</v>
      </c>
      <c r="N2353" s="971"/>
      <c r="O2353" s="448" t="s">
        <v>1424</v>
      </c>
    </row>
    <row r="2354" spans="9:15" ht="14.25" customHeight="1">
      <c r="I2354" s="277" t="s">
        <v>1364</v>
      </c>
      <c r="J2354" s="163"/>
      <c r="K2354" s="163">
        <v>3.39</v>
      </c>
      <c r="L2354" s="297">
        <v>165</v>
      </c>
      <c r="M2354" s="276">
        <f aca="true" t="shared" si="186" ref="M2354:M2359">K2354/L2354*1000</f>
        <v>20.545454545454547</v>
      </c>
      <c r="N2354" s="971"/>
      <c r="O2354" s="448" t="s">
        <v>2451</v>
      </c>
    </row>
    <row r="2355" spans="9:15" ht="14.25" customHeight="1">
      <c r="I2355" s="277" t="s">
        <v>1364</v>
      </c>
      <c r="J2355" s="158"/>
      <c r="K2355" s="158">
        <v>3.19</v>
      </c>
      <c r="L2355" s="30">
        <v>165</v>
      </c>
      <c r="M2355" s="29">
        <f t="shared" si="186"/>
        <v>19.333333333333336</v>
      </c>
      <c r="N2355" s="971"/>
      <c r="O2355" s="24" t="s">
        <v>674</v>
      </c>
    </row>
    <row r="2356" spans="9:15" ht="14.25" customHeight="1">
      <c r="I2356" s="277" t="s">
        <v>603</v>
      </c>
      <c r="J2356" s="1343"/>
      <c r="K2356" s="1343">
        <v>3.49</v>
      </c>
      <c r="L2356" s="1344">
        <v>165</v>
      </c>
      <c r="M2356" s="1345">
        <f>K2356/L2356*1000</f>
        <v>21.151515151515152</v>
      </c>
      <c r="N2356" s="1018"/>
      <c r="O2356" s="448" t="s">
        <v>2071</v>
      </c>
    </row>
    <row r="2357" spans="9:15" ht="14.25" customHeight="1">
      <c r="I2357" s="277" t="s">
        <v>603</v>
      </c>
      <c r="J2357" s="158"/>
      <c r="K2357" s="158">
        <v>2.99</v>
      </c>
      <c r="L2357" s="117">
        <v>165</v>
      </c>
      <c r="M2357" s="116">
        <f>K2357/L2357*1000</f>
        <v>18.12121212121212</v>
      </c>
      <c r="N2357" s="1018"/>
      <c r="O2357" s="448" t="s">
        <v>18</v>
      </c>
    </row>
    <row r="2358" spans="9:15" ht="14.25" customHeight="1">
      <c r="I2358" s="71" t="s">
        <v>2693</v>
      </c>
      <c r="J2358" s="158"/>
      <c r="K2358" s="158">
        <v>3.39</v>
      </c>
      <c r="L2358" s="117">
        <v>165</v>
      </c>
      <c r="M2358" s="116">
        <f t="shared" si="186"/>
        <v>20.545454545454547</v>
      </c>
      <c r="N2358" s="971"/>
      <c r="O2358" s="448" t="s">
        <v>2877</v>
      </c>
    </row>
    <row r="2359" spans="9:15" ht="14.25" customHeight="1">
      <c r="I2359" s="28" t="s">
        <v>2693</v>
      </c>
      <c r="J2359" s="96"/>
      <c r="K2359" s="96">
        <v>3.29</v>
      </c>
      <c r="L2359" s="30">
        <v>165</v>
      </c>
      <c r="M2359" s="29">
        <f t="shared" si="186"/>
        <v>19.93939393939394</v>
      </c>
      <c r="N2359" s="971"/>
      <c r="O2359" s="24" t="s">
        <v>2065</v>
      </c>
    </row>
    <row r="2360" spans="9:15" ht="14.25" customHeight="1">
      <c r="I2360" s="119" t="s">
        <v>777</v>
      </c>
      <c r="J2360" s="192"/>
      <c r="K2360" s="192">
        <f>K2361/2</f>
        <v>2.15</v>
      </c>
      <c r="L2360" s="1342">
        <v>165</v>
      </c>
      <c r="M2360" s="653">
        <f>K2360/L2360*1000</f>
        <v>13.03030303030303</v>
      </c>
      <c r="N2360" s="1018" t="s">
        <v>1714</v>
      </c>
      <c r="O2360" s="448" t="s">
        <v>778</v>
      </c>
    </row>
    <row r="2361" spans="9:15" ht="14.25" customHeight="1">
      <c r="I2361" s="17" t="s">
        <v>777</v>
      </c>
      <c r="J2361" s="160"/>
      <c r="K2361" s="160">
        <v>4.3</v>
      </c>
      <c r="L2361" s="19">
        <v>165</v>
      </c>
      <c r="M2361" s="18">
        <f>K2361/L2361*1000</f>
        <v>26.06060606060606</v>
      </c>
      <c r="N2361" s="1018"/>
      <c r="O2361" s="716" t="s">
        <v>778</v>
      </c>
    </row>
    <row r="2362" spans="9:14" ht="15.75" customHeight="1">
      <c r="I2362" s="6"/>
      <c r="J2362" s="55"/>
      <c r="K2362" s="16"/>
      <c r="L2362" s="7"/>
      <c r="M2362" s="16"/>
      <c r="N2362" s="74"/>
    </row>
    <row r="2363" spans="9:14" ht="15.75" customHeight="1">
      <c r="I2363" s="48"/>
      <c r="J2363" s="190"/>
      <c r="K2363" s="32"/>
      <c r="L2363" s="33"/>
      <c r="M2363" s="32"/>
      <c r="N2363" s="27"/>
    </row>
    <row r="2364" spans="9:14" ht="15.75" customHeight="1">
      <c r="I2364" s="355" t="s">
        <v>431</v>
      </c>
      <c r="J2364" s="110"/>
      <c r="K2364" s="35"/>
      <c r="L2364" s="36"/>
      <c r="M2364" s="35"/>
      <c r="N2364" s="27"/>
    </row>
    <row r="2365" spans="9:15" ht="14.25" customHeight="1">
      <c r="I2365" s="43" t="s">
        <v>1940</v>
      </c>
      <c r="J2365" s="1009"/>
      <c r="K2365" s="152">
        <v>6.09</v>
      </c>
      <c r="L2365" s="128">
        <v>3000</v>
      </c>
      <c r="M2365" s="129">
        <f>K2365/L2365*1000</f>
        <v>2.0300000000000002</v>
      </c>
      <c r="N2365" s="971"/>
      <c r="O2365" s="716" t="s">
        <v>2988</v>
      </c>
    </row>
    <row r="2366" spans="9:15" ht="14.25" customHeight="1">
      <c r="I2366" s="40" t="s">
        <v>1939</v>
      </c>
      <c r="J2366" s="1009"/>
      <c r="K2366" s="152">
        <v>0.9</v>
      </c>
      <c r="L2366" s="128">
        <v>500</v>
      </c>
      <c r="M2366" s="129">
        <f>K2366/L2366*1000</f>
        <v>1.8</v>
      </c>
      <c r="N2366" s="971"/>
      <c r="O2366" s="716" t="s">
        <v>2988</v>
      </c>
    </row>
    <row r="2367" spans="9:15" ht="14.25" customHeight="1">
      <c r="I2367" s="97" t="s">
        <v>1937</v>
      </c>
      <c r="J2367" s="1009"/>
      <c r="K2367" s="152">
        <v>0.27</v>
      </c>
      <c r="L2367" s="128">
        <v>500</v>
      </c>
      <c r="M2367" s="129">
        <f>K2367/L2367*1000</f>
        <v>0.54</v>
      </c>
      <c r="N2367" s="971"/>
      <c r="O2367" s="24" t="s">
        <v>2634</v>
      </c>
    </row>
    <row r="2368" spans="9:15" ht="14.25" customHeight="1">
      <c r="I2368" s="37" t="s">
        <v>1942</v>
      </c>
      <c r="J2368" s="1009"/>
      <c r="K2368" s="55">
        <v>0.55</v>
      </c>
      <c r="L2368" s="7">
        <v>500</v>
      </c>
      <c r="M2368" s="16">
        <f>K2368/L2368*1000</f>
        <v>1.1</v>
      </c>
      <c r="N2368" s="971"/>
      <c r="O2368" s="716" t="s">
        <v>637</v>
      </c>
    </row>
    <row r="2369" spans="2:15" s="391" customFormat="1" ht="15.75" customHeight="1">
      <c r="B2369" s="393"/>
      <c r="C2369" s="393"/>
      <c r="D2369" s="393"/>
      <c r="E2369" s="746"/>
      <c r="F2369" s="394"/>
      <c r="G2369" s="393"/>
      <c r="H2369" s="393"/>
      <c r="I2369" s="37" t="s">
        <v>1941</v>
      </c>
      <c r="J2369" s="110"/>
      <c r="K2369" s="35">
        <v>0.39</v>
      </c>
      <c r="L2369" s="36">
        <v>500</v>
      </c>
      <c r="M2369" s="35">
        <f>K2369/L2369*1000</f>
        <v>0.78</v>
      </c>
      <c r="N2369" s="27"/>
      <c r="O2369" s="716" t="s">
        <v>1738</v>
      </c>
    </row>
    <row r="2370" spans="9:14" ht="15.75" customHeight="1">
      <c r="I2370" s="48"/>
      <c r="J2370" s="190"/>
      <c r="K2370" s="32"/>
      <c r="L2370" s="33"/>
      <c r="M2370" s="32"/>
      <c r="N2370" s="27"/>
    </row>
    <row r="2371" spans="9:14" ht="23.25">
      <c r="I2371" s="811" t="s">
        <v>641</v>
      </c>
      <c r="J2371" s="55"/>
      <c r="K2371" s="16"/>
      <c r="L2371" s="7"/>
      <c r="M2371" s="16"/>
      <c r="N2371" s="74"/>
    </row>
    <row r="2372" spans="2:15" s="10" customFormat="1" ht="15.75" customHeight="1">
      <c r="B2372" s="218"/>
      <c r="C2372" s="218"/>
      <c r="D2372" s="218"/>
      <c r="E2372" s="737"/>
      <c r="F2372" s="219"/>
      <c r="G2372" s="218"/>
      <c r="H2372" s="218"/>
      <c r="I2372" s="228" t="s">
        <v>1492</v>
      </c>
      <c r="J2372" s="76"/>
      <c r="K2372" s="360">
        <v>2.29</v>
      </c>
      <c r="L2372" s="77">
        <v>20</v>
      </c>
      <c r="M2372" s="95">
        <f aca="true" t="shared" si="187" ref="M2372:M2382">K2372/L2372*1000</f>
        <v>114.5</v>
      </c>
      <c r="N2372" s="654"/>
      <c r="O2372" s="224" t="s">
        <v>1607</v>
      </c>
    </row>
    <row r="2373" spans="9:15" ht="15.75" customHeight="1">
      <c r="I2373" s="48" t="s">
        <v>86</v>
      </c>
      <c r="J2373" s="32">
        <v>2.39</v>
      </c>
      <c r="K2373" s="41">
        <f>J2373*0.97</f>
        <v>2.3183000000000002</v>
      </c>
      <c r="L2373" s="33">
        <v>30</v>
      </c>
      <c r="M2373" s="95">
        <f>K2373/L2373*1000</f>
        <v>77.27666666666667</v>
      </c>
      <c r="N2373" s="27"/>
      <c r="O2373" s="24" t="s">
        <v>1607</v>
      </c>
    </row>
    <row r="2374" spans="2:15" s="10" customFormat="1" ht="15.75" customHeight="1">
      <c r="B2374" s="218"/>
      <c r="C2374" s="218"/>
      <c r="D2374" s="218"/>
      <c r="E2374" s="737"/>
      <c r="F2374" s="219"/>
      <c r="G2374" s="218"/>
      <c r="H2374" s="218"/>
      <c r="I2374" s="228" t="s">
        <v>1482</v>
      </c>
      <c r="J2374" s="76"/>
      <c r="K2374" s="76">
        <v>1.79</v>
      </c>
      <c r="L2374" s="77">
        <v>20</v>
      </c>
      <c r="M2374" s="76">
        <f t="shared" si="187"/>
        <v>89.5</v>
      </c>
      <c r="N2374" s="654"/>
      <c r="O2374" s="224" t="s">
        <v>2320</v>
      </c>
    </row>
    <row r="2375" spans="9:15" ht="15.75" customHeight="1">
      <c r="I2375" s="48" t="s">
        <v>1015</v>
      </c>
      <c r="J2375" s="32"/>
      <c r="K2375" s="41">
        <v>2.39</v>
      </c>
      <c r="L2375" s="33">
        <v>15</v>
      </c>
      <c r="M2375" s="32">
        <f t="shared" si="187"/>
        <v>159.33333333333334</v>
      </c>
      <c r="N2375" s="27"/>
      <c r="O2375" s="24" t="s">
        <v>2390</v>
      </c>
    </row>
    <row r="2376" spans="2:15" s="10" customFormat="1" ht="15.75" customHeight="1">
      <c r="B2376" s="218"/>
      <c r="C2376" s="218"/>
      <c r="D2376" s="218"/>
      <c r="E2376" s="737"/>
      <c r="F2376" s="219"/>
      <c r="G2376" s="218"/>
      <c r="H2376" s="218"/>
      <c r="I2376" s="446" t="s">
        <v>787</v>
      </c>
      <c r="J2376" s="375"/>
      <c r="K2376" s="375">
        <v>1.99</v>
      </c>
      <c r="L2376" s="376">
        <v>15</v>
      </c>
      <c r="M2376" s="375">
        <f t="shared" si="187"/>
        <v>132.66666666666666</v>
      </c>
      <c r="N2376" s="654"/>
      <c r="O2376" s="224" t="s">
        <v>2542</v>
      </c>
    </row>
    <row r="2377" spans="2:15" s="3" customFormat="1" ht="15.75" customHeight="1">
      <c r="B2377" s="196"/>
      <c r="C2377" s="196"/>
      <c r="D2377" s="196"/>
      <c r="E2377" s="738"/>
      <c r="F2377" s="199"/>
      <c r="G2377" s="196"/>
      <c r="H2377" s="196"/>
      <c r="I2377" s="233" t="s">
        <v>856</v>
      </c>
      <c r="J2377" s="95">
        <v>2.19</v>
      </c>
      <c r="K2377" s="95">
        <f>J2377*0.97</f>
        <v>2.1243</v>
      </c>
      <c r="L2377" s="134">
        <v>35</v>
      </c>
      <c r="M2377" s="95">
        <f>K2377/L2377*1000</f>
        <v>60.694285714285705</v>
      </c>
      <c r="N2377" s="27"/>
      <c r="O2377" s="50" t="s">
        <v>537</v>
      </c>
    </row>
    <row r="2378" spans="2:15" s="3" customFormat="1" ht="15.75" customHeight="1">
      <c r="B2378" s="196"/>
      <c r="C2378" s="196"/>
      <c r="D2378" s="196"/>
      <c r="E2378" s="738"/>
      <c r="F2378" s="199"/>
      <c r="G2378" s="196"/>
      <c r="H2378" s="196"/>
      <c r="I2378" s="233" t="s">
        <v>857</v>
      </c>
      <c r="J2378" s="95"/>
      <c r="K2378" s="95">
        <f>J2379*0.9</f>
        <v>2.061</v>
      </c>
      <c r="L2378" s="134">
        <v>40</v>
      </c>
      <c r="M2378" s="95">
        <f>K2378/L2378*1000</f>
        <v>51.525</v>
      </c>
      <c r="N2378" s="1034" t="s">
        <v>1398</v>
      </c>
      <c r="O2378" s="50" t="s">
        <v>2455</v>
      </c>
    </row>
    <row r="2379" spans="2:15" s="3" customFormat="1" ht="15.75" customHeight="1">
      <c r="B2379" s="196"/>
      <c r="C2379" s="196"/>
      <c r="D2379" s="196"/>
      <c r="E2379" s="738"/>
      <c r="F2379" s="199"/>
      <c r="G2379" s="196"/>
      <c r="H2379" s="196"/>
      <c r="I2379" s="233" t="s">
        <v>857</v>
      </c>
      <c r="J2379" s="95">
        <v>2.29</v>
      </c>
      <c r="K2379" s="95">
        <f>J2379*0.97</f>
        <v>2.2213</v>
      </c>
      <c r="L2379" s="134">
        <v>40</v>
      </c>
      <c r="M2379" s="95">
        <f>K2379/L2379*1000</f>
        <v>55.5325</v>
      </c>
      <c r="N2379" s="27"/>
      <c r="O2379" s="50" t="s">
        <v>2455</v>
      </c>
    </row>
    <row r="2380" spans="9:15" ht="15.75" customHeight="1">
      <c r="I2380" s="48" t="s">
        <v>1718</v>
      </c>
      <c r="J2380" s="32"/>
      <c r="K2380" s="685">
        <v>2.15</v>
      </c>
      <c r="L2380" s="33">
        <v>35</v>
      </c>
      <c r="M2380" s="32">
        <f t="shared" si="187"/>
        <v>61.42857142857142</v>
      </c>
      <c r="N2380" s="27"/>
      <c r="O2380" s="24" t="s">
        <v>942</v>
      </c>
    </row>
    <row r="2381" spans="2:15" s="10" customFormat="1" ht="15.75" customHeight="1">
      <c r="B2381" s="218"/>
      <c r="C2381" s="218"/>
      <c r="D2381" s="218"/>
      <c r="E2381" s="737"/>
      <c r="F2381" s="219"/>
      <c r="G2381" s="218"/>
      <c r="H2381" s="218"/>
      <c r="I2381" s="228" t="s">
        <v>3087</v>
      </c>
      <c r="J2381" s="76"/>
      <c r="K2381" s="76">
        <v>2.29</v>
      </c>
      <c r="L2381" s="77">
        <v>30</v>
      </c>
      <c r="M2381" s="76">
        <f t="shared" si="187"/>
        <v>76.33333333333334</v>
      </c>
      <c r="N2381" s="654"/>
      <c r="O2381" s="224" t="s">
        <v>2632</v>
      </c>
    </row>
    <row r="2382" spans="2:15" s="705" customFormat="1" ht="15.75" customHeight="1">
      <c r="B2382" s="691"/>
      <c r="C2382" s="691"/>
      <c r="D2382" s="691"/>
      <c r="E2382" s="747"/>
      <c r="F2382" s="699"/>
      <c r="G2382" s="691"/>
      <c r="H2382" s="691"/>
      <c r="I2382" s="700" t="s">
        <v>858</v>
      </c>
      <c r="J2382" s="701">
        <v>2.49</v>
      </c>
      <c r="K2382" s="701">
        <f>J2382*0.97</f>
        <v>2.4153000000000002</v>
      </c>
      <c r="L2382" s="1092">
        <v>50</v>
      </c>
      <c r="M2382" s="701">
        <f t="shared" si="187"/>
        <v>48.306000000000004</v>
      </c>
      <c r="N2382" s="703"/>
      <c r="O2382" s="704" t="s">
        <v>778</v>
      </c>
    </row>
    <row r="2383" spans="2:15" s="3" customFormat="1" ht="15.75" customHeight="1">
      <c r="B2383" s="196"/>
      <c r="C2383" s="196"/>
      <c r="D2383" s="196"/>
      <c r="E2383" s="738"/>
      <c r="F2383" s="199"/>
      <c r="G2383" s="196"/>
      <c r="H2383" s="196"/>
      <c r="I2383" s="652" t="s">
        <v>1442</v>
      </c>
      <c r="J2383" s="95"/>
      <c r="K2383" s="95">
        <v>2.19</v>
      </c>
      <c r="L2383" s="339">
        <v>15</v>
      </c>
      <c r="M2383" s="32">
        <f>K2383/L2383*1000</f>
        <v>146</v>
      </c>
      <c r="N2383" s="27"/>
      <c r="O2383" s="50" t="s">
        <v>2350</v>
      </c>
    </row>
    <row r="2384" spans="2:15" s="3" customFormat="1" ht="15.75" customHeight="1">
      <c r="B2384" s="196"/>
      <c r="C2384" s="196"/>
      <c r="D2384" s="196"/>
      <c r="E2384" s="738"/>
      <c r="F2384" s="199"/>
      <c r="G2384" s="196"/>
      <c r="H2384" s="196"/>
      <c r="I2384" s="233" t="s">
        <v>1600</v>
      </c>
      <c r="J2384" s="95"/>
      <c r="K2384" s="95">
        <v>1.79</v>
      </c>
      <c r="L2384" s="339">
        <v>20</v>
      </c>
      <c r="M2384" s="32">
        <f aca="true" t="shared" si="188" ref="M2384:M2401">K2384/L2384*1000</f>
        <v>89.5</v>
      </c>
      <c r="N2384" s="27"/>
      <c r="O2384" s="669" t="s">
        <v>637</v>
      </c>
    </row>
    <row r="2385" spans="9:15" ht="15.75" customHeight="1">
      <c r="I2385" s="48" t="s">
        <v>2436</v>
      </c>
      <c r="J2385" s="32"/>
      <c r="K2385" s="32">
        <v>1.99</v>
      </c>
      <c r="L2385" s="33">
        <v>15</v>
      </c>
      <c r="M2385" s="32">
        <f t="shared" si="188"/>
        <v>132.66666666666666</v>
      </c>
      <c r="N2385" s="27"/>
      <c r="O2385" s="24" t="s">
        <v>2632</v>
      </c>
    </row>
    <row r="2386" spans="9:15" ht="15.75" customHeight="1">
      <c r="I2386" s="48" t="s">
        <v>622</v>
      </c>
      <c r="J2386" s="32"/>
      <c r="K2386" s="32">
        <v>2</v>
      </c>
      <c r="L2386" s="33">
        <v>15</v>
      </c>
      <c r="M2386" s="32">
        <f t="shared" si="188"/>
        <v>133.33333333333334</v>
      </c>
      <c r="N2386" s="27"/>
      <c r="O2386" s="24" t="s">
        <v>692</v>
      </c>
    </row>
    <row r="2387" spans="2:15" s="10" customFormat="1" ht="15.75" customHeight="1">
      <c r="B2387" s="218"/>
      <c r="C2387" s="218"/>
      <c r="D2387" s="218"/>
      <c r="E2387" s="737"/>
      <c r="F2387" s="219"/>
      <c r="G2387" s="218"/>
      <c r="H2387" s="218"/>
      <c r="I2387" s="228" t="s">
        <v>1968</v>
      </c>
      <c r="J2387" s="76">
        <v>1.99</v>
      </c>
      <c r="K2387" s="76">
        <f aca="true" t="shared" si="189" ref="K2387:K2399">J2387*0.97</f>
        <v>1.9303</v>
      </c>
      <c r="L2387" s="77">
        <v>30</v>
      </c>
      <c r="M2387" s="76">
        <f t="shared" si="188"/>
        <v>64.34333333333333</v>
      </c>
      <c r="N2387" s="654"/>
      <c r="O2387" s="224" t="s">
        <v>326</v>
      </c>
    </row>
    <row r="2388" spans="9:15" ht="15.75" customHeight="1">
      <c r="I2388" s="48" t="s">
        <v>1685</v>
      </c>
      <c r="J2388" s="58">
        <v>2.29</v>
      </c>
      <c r="K2388" s="32">
        <f t="shared" si="189"/>
        <v>2.2213</v>
      </c>
      <c r="L2388" s="33">
        <v>10</v>
      </c>
      <c r="M2388" s="32">
        <f>K2388/L2388*1000</f>
        <v>222.13</v>
      </c>
      <c r="N2388" s="27"/>
      <c r="O2388" s="1008" t="s">
        <v>458</v>
      </c>
    </row>
    <row r="2389" spans="9:15" ht="15.75" customHeight="1">
      <c r="I2389" s="48" t="s">
        <v>1685</v>
      </c>
      <c r="J2389" s="58">
        <v>2.29</v>
      </c>
      <c r="K2389" s="32">
        <f t="shared" si="189"/>
        <v>2.2213</v>
      </c>
      <c r="L2389" s="33">
        <v>10</v>
      </c>
      <c r="M2389" s="32">
        <f t="shared" si="188"/>
        <v>222.13</v>
      </c>
      <c r="N2389" s="27"/>
      <c r="O2389" s="1008" t="s">
        <v>2575</v>
      </c>
    </row>
    <row r="2390" spans="9:15" ht="15.75" customHeight="1">
      <c r="I2390" s="48" t="s">
        <v>2723</v>
      </c>
      <c r="J2390" s="32">
        <v>2.99</v>
      </c>
      <c r="K2390" s="32">
        <f t="shared" si="189"/>
        <v>2.9003</v>
      </c>
      <c r="L2390" s="33">
        <v>80</v>
      </c>
      <c r="M2390" s="32">
        <f t="shared" si="188"/>
        <v>36.253750000000004</v>
      </c>
      <c r="N2390" s="27"/>
      <c r="O2390" s="24" t="s">
        <v>35</v>
      </c>
    </row>
    <row r="2391" spans="9:15" ht="15.75" customHeight="1">
      <c r="I2391" s="48" t="s">
        <v>2724</v>
      </c>
      <c r="J2391" s="32">
        <v>2.6</v>
      </c>
      <c r="K2391" s="32">
        <f t="shared" si="189"/>
        <v>2.522</v>
      </c>
      <c r="L2391" s="33">
        <v>50</v>
      </c>
      <c r="M2391" s="32">
        <f t="shared" si="188"/>
        <v>50.44</v>
      </c>
      <c r="N2391" s="27"/>
      <c r="O2391" s="24" t="s">
        <v>1142</v>
      </c>
    </row>
    <row r="2392" spans="2:15" s="447" customFormat="1" ht="15.75" customHeight="1">
      <c r="B2392" s="319"/>
      <c r="C2392" s="319"/>
      <c r="D2392" s="319"/>
      <c r="E2392" s="735"/>
      <c r="F2392" s="483"/>
      <c r="G2392" s="319"/>
      <c r="H2392" s="319"/>
      <c r="I2392" s="248" t="s">
        <v>657</v>
      </c>
      <c r="J2392" s="321">
        <v>2.99</v>
      </c>
      <c r="K2392" s="321">
        <f t="shared" si="189"/>
        <v>2.9003</v>
      </c>
      <c r="L2392" s="447">
        <v>80</v>
      </c>
      <c r="M2392" s="32">
        <f t="shared" si="188"/>
        <v>36.253750000000004</v>
      </c>
      <c r="N2392" s="597"/>
      <c r="O2392" s="448" t="s">
        <v>2320</v>
      </c>
    </row>
    <row r="2393" spans="2:15" s="447" customFormat="1" ht="15.75" customHeight="1">
      <c r="B2393" s="319"/>
      <c r="C2393" s="319"/>
      <c r="D2393" s="319"/>
      <c r="E2393" s="735"/>
      <c r="F2393" s="483"/>
      <c r="G2393" s="319"/>
      <c r="H2393" s="319"/>
      <c r="I2393" s="596" t="s">
        <v>1310</v>
      </c>
      <c r="J2393" s="321"/>
      <c r="K2393" s="321">
        <v>1.99</v>
      </c>
      <c r="L2393" s="447">
        <v>100</v>
      </c>
      <c r="M2393" s="32">
        <f t="shared" si="188"/>
        <v>19.900000000000002</v>
      </c>
      <c r="N2393" s="597"/>
      <c r="O2393" s="448" t="s">
        <v>1246</v>
      </c>
    </row>
    <row r="2394" spans="2:15" s="447" customFormat="1" ht="15.75" customHeight="1">
      <c r="B2394" s="319"/>
      <c r="C2394" s="319"/>
      <c r="D2394" s="319"/>
      <c r="E2394" s="735"/>
      <c r="F2394" s="483"/>
      <c r="G2394" s="319"/>
      <c r="H2394" s="319"/>
      <c r="I2394" s="822" t="s">
        <v>2292</v>
      </c>
      <c r="J2394" s="321"/>
      <c r="K2394" s="321"/>
      <c r="M2394" s="32"/>
      <c r="N2394" s="597"/>
      <c r="O2394" s="1110" t="s">
        <v>2065</v>
      </c>
    </row>
    <row r="2395" spans="9:15" ht="15.75" customHeight="1">
      <c r="I2395" s="248" t="s">
        <v>921</v>
      </c>
      <c r="J2395" s="32">
        <v>2.69</v>
      </c>
      <c r="K2395" s="321">
        <f t="shared" si="189"/>
        <v>2.6092999999999997</v>
      </c>
      <c r="L2395" s="33">
        <v>35</v>
      </c>
      <c r="M2395" s="32">
        <f>K2395/L2395*1000</f>
        <v>74.55142857142856</v>
      </c>
      <c r="N2395" s="27"/>
      <c r="O2395" s="24" t="s">
        <v>2455</v>
      </c>
    </row>
    <row r="2396" spans="9:15" ht="15.75" customHeight="1">
      <c r="I2396" s="72" t="s">
        <v>292</v>
      </c>
      <c r="J2396" s="32"/>
      <c r="K2396" s="32">
        <v>2.89</v>
      </c>
      <c r="L2396" s="33">
        <v>35</v>
      </c>
      <c r="M2396" s="32">
        <f>K2396/L2396*1000</f>
        <v>82.57142857142857</v>
      </c>
      <c r="N2396" s="27"/>
      <c r="O2396" s="24" t="s">
        <v>2065</v>
      </c>
    </row>
    <row r="2397" spans="9:15" ht="15.75" customHeight="1">
      <c r="I2397" s="146" t="s">
        <v>292</v>
      </c>
      <c r="J2397" s="29"/>
      <c r="K2397" s="29">
        <v>2.49</v>
      </c>
      <c r="L2397" s="30">
        <v>35</v>
      </c>
      <c r="M2397" s="29">
        <f t="shared" si="188"/>
        <v>71.14285714285715</v>
      </c>
      <c r="N2397" s="27"/>
      <c r="O2397" s="24" t="s">
        <v>2174</v>
      </c>
    </row>
    <row r="2398" spans="9:15" ht="15.75" customHeight="1">
      <c r="I2398" s="146" t="s">
        <v>292</v>
      </c>
      <c r="J2398" s="29"/>
      <c r="K2398" s="29">
        <v>1.99</v>
      </c>
      <c r="L2398" s="30">
        <v>35</v>
      </c>
      <c r="M2398" s="29">
        <f t="shared" si="188"/>
        <v>56.857142857142854</v>
      </c>
      <c r="N2398" s="27"/>
      <c r="O2398" s="24" t="s">
        <v>2731</v>
      </c>
    </row>
    <row r="2399" spans="9:15" ht="15.75" customHeight="1">
      <c r="I2399" s="48" t="s">
        <v>1334</v>
      </c>
      <c r="J2399" s="32">
        <v>2.09</v>
      </c>
      <c r="K2399" s="32">
        <f t="shared" si="189"/>
        <v>2.0273</v>
      </c>
      <c r="L2399" s="33">
        <v>40</v>
      </c>
      <c r="M2399" s="32">
        <f t="shared" si="188"/>
        <v>50.6825</v>
      </c>
      <c r="N2399" s="27"/>
      <c r="O2399" s="24" t="s">
        <v>1142</v>
      </c>
    </row>
    <row r="2400" spans="9:15" ht="15.75" customHeight="1">
      <c r="I2400" s="146" t="s">
        <v>639</v>
      </c>
      <c r="J2400" s="29">
        <v>1.89</v>
      </c>
      <c r="K2400" s="29">
        <f>J2400*0.97</f>
        <v>1.8333</v>
      </c>
      <c r="L2400" s="30">
        <v>50</v>
      </c>
      <c r="M2400" s="29">
        <f t="shared" si="188"/>
        <v>36.666</v>
      </c>
      <c r="N2400" s="27"/>
      <c r="O2400" s="24" t="s">
        <v>181</v>
      </c>
    </row>
    <row r="2401" spans="9:15" ht="15.75" customHeight="1">
      <c r="I2401" s="146" t="s">
        <v>1859</v>
      </c>
      <c r="J2401" s="96"/>
      <c r="K2401" s="29">
        <v>1</v>
      </c>
      <c r="L2401" s="30">
        <v>20</v>
      </c>
      <c r="M2401" s="29">
        <f t="shared" si="188"/>
        <v>50</v>
      </c>
      <c r="N2401" s="796" t="s">
        <v>2431</v>
      </c>
      <c r="O2401" s="797" t="s">
        <v>2568</v>
      </c>
    </row>
    <row r="2402" spans="9:15" ht="15.75" customHeight="1">
      <c r="I2402" s="87" t="s">
        <v>866</v>
      </c>
      <c r="J2402" s="55"/>
      <c r="K2402" s="16">
        <v>1.5</v>
      </c>
      <c r="L2402" s="7">
        <v>10</v>
      </c>
      <c r="M2402" s="16">
        <f aca="true" t="shared" si="190" ref="M2402:M2439">K2402/L2402*1000</f>
        <v>150</v>
      </c>
      <c r="N2402" s="74"/>
      <c r="O2402" s="24" t="s">
        <v>2208</v>
      </c>
    </row>
    <row r="2403" spans="9:15" ht="15.75" customHeight="1">
      <c r="I2403" s="87" t="s">
        <v>1691</v>
      </c>
      <c r="J2403" s="55"/>
      <c r="K2403" s="16">
        <v>1.19</v>
      </c>
      <c r="L2403" s="7">
        <v>0.12</v>
      </c>
      <c r="M2403" s="16">
        <f t="shared" si="190"/>
        <v>9916.666666666666</v>
      </c>
      <c r="N2403" s="74"/>
      <c r="O2403" s="130"/>
    </row>
    <row r="2404" spans="9:15" ht="15.75" customHeight="1">
      <c r="I2404" s="248" t="s">
        <v>3020</v>
      </c>
      <c r="J2404" s="55"/>
      <c r="K2404" s="16"/>
      <c r="L2404" s="7"/>
      <c r="M2404" s="16"/>
      <c r="N2404" s="74"/>
      <c r="O2404" s="130"/>
    </row>
    <row r="2405" spans="9:15" ht="15.75" customHeight="1">
      <c r="I2405" s="15" t="s">
        <v>1763</v>
      </c>
      <c r="J2405" s="55"/>
      <c r="K2405" s="16">
        <v>1.49</v>
      </c>
      <c r="L2405" s="7">
        <v>100</v>
      </c>
      <c r="M2405" s="16">
        <f t="shared" si="190"/>
        <v>14.9</v>
      </c>
      <c r="N2405" s="74"/>
      <c r="O2405" s="24" t="s">
        <v>2568</v>
      </c>
    </row>
    <row r="2406" spans="9:15" ht="15.75" customHeight="1">
      <c r="I2406" s="67" t="s">
        <v>153</v>
      </c>
      <c r="J2406" s="164"/>
      <c r="K2406" s="68">
        <v>1.59</v>
      </c>
      <c r="L2406" s="69">
        <v>100</v>
      </c>
      <c r="M2406" s="68">
        <f>K2406/L2406*1000</f>
        <v>15.9</v>
      </c>
      <c r="N2406" s="121"/>
      <c r="O2406" s="24" t="s">
        <v>581</v>
      </c>
    </row>
    <row r="2407" spans="9:15" ht="15.75" customHeight="1">
      <c r="I2407" s="67" t="s">
        <v>2766</v>
      </c>
      <c r="J2407" s="164"/>
      <c r="K2407" s="68">
        <v>2.15</v>
      </c>
      <c r="L2407" s="69">
        <v>100</v>
      </c>
      <c r="M2407" s="68">
        <f>K2407/L2407*1000</f>
        <v>21.5</v>
      </c>
      <c r="N2407" s="121"/>
      <c r="O2407" s="24" t="s">
        <v>2213</v>
      </c>
    </row>
    <row r="2408" spans="9:15" ht="15.75" customHeight="1">
      <c r="I2408" s="67" t="s">
        <v>2766</v>
      </c>
      <c r="J2408" s="164"/>
      <c r="K2408" s="68">
        <v>1.9</v>
      </c>
      <c r="L2408" s="69">
        <v>100</v>
      </c>
      <c r="M2408" s="68">
        <f t="shared" si="190"/>
        <v>19</v>
      </c>
      <c r="N2408" s="121"/>
      <c r="O2408" s="24" t="s">
        <v>2208</v>
      </c>
    </row>
    <row r="2409" spans="9:15" ht="15.75" customHeight="1">
      <c r="I2409" s="48" t="s">
        <v>2457</v>
      </c>
      <c r="J2409" s="66">
        <v>1.89</v>
      </c>
      <c r="K2409" s="32">
        <f>J2409*0.97</f>
        <v>1.8333</v>
      </c>
      <c r="L2409" s="33">
        <v>50</v>
      </c>
      <c r="M2409" s="32">
        <f t="shared" si="190"/>
        <v>36.666</v>
      </c>
      <c r="N2409" s="74"/>
      <c r="O2409" s="24" t="s">
        <v>692</v>
      </c>
    </row>
    <row r="2410" spans="9:15" ht="15.75" customHeight="1">
      <c r="I2410" s="48" t="s">
        <v>1540</v>
      </c>
      <c r="J2410" s="66">
        <v>2.29</v>
      </c>
      <c r="K2410" s="32">
        <f>J2410*0.97</f>
        <v>2.2213</v>
      </c>
      <c r="L2410" s="33">
        <v>35</v>
      </c>
      <c r="M2410" s="32">
        <f t="shared" si="190"/>
        <v>63.46571428571428</v>
      </c>
      <c r="N2410" s="74"/>
      <c r="O2410" s="24" t="s">
        <v>10</v>
      </c>
    </row>
    <row r="2411" spans="9:15" ht="15.75" customHeight="1">
      <c r="I2411" s="48" t="s">
        <v>2913</v>
      </c>
      <c r="J2411" s="66"/>
      <c r="K2411" s="32">
        <v>1.99</v>
      </c>
      <c r="L2411" s="33">
        <v>15</v>
      </c>
      <c r="M2411" s="32">
        <f>K2411/L2411*1000</f>
        <v>132.66666666666666</v>
      </c>
      <c r="N2411" s="74"/>
      <c r="O2411" s="24" t="s">
        <v>1663</v>
      </c>
    </row>
    <row r="2412" spans="9:15" ht="15.75" customHeight="1">
      <c r="I2412" s="48" t="s">
        <v>2547</v>
      </c>
      <c r="J2412" s="61">
        <v>2.29</v>
      </c>
      <c r="K2412" s="32">
        <f>J2412*0.97</f>
        <v>2.2213</v>
      </c>
      <c r="L2412" s="33">
        <v>15</v>
      </c>
      <c r="M2412" s="32">
        <f>K2412/L2412*1000</f>
        <v>148.08666666666664</v>
      </c>
      <c r="N2412" s="74"/>
      <c r="O2412" s="24" t="s">
        <v>2320</v>
      </c>
    </row>
    <row r="2413" spans="9:15" ht="15.75" customHeight="1">
      <c r="I2413" s="146" t="s">
        <v>2267</v>
      </c>
      <c r="J2413" s="96">
        <v>1.93</v>
      </c>
      <c r="K2413" s="29">
        <f>J2413*0.97</f>
        <v>1.8720999999999999</v>
      </c>
      <c r="L2413" s="30">
        <v>20</v>
      </c>
      <c r="M2413" s="29">
        <f t="shared" si="190"/>
        <v>93.60499999999999</v>
      </c>
      <c r="N2413" s="74"/>
      <c r="O2413" s="24" t="s">
        <v>2213</v>
      </c>
    </row>
    <row r="2414" spans="9:15" ht="15.75" customHeight="1">
      <c r="I2414" s="48" t="s">
        <v>2038</v>
      </c>
      <c r="J2414" s="66">
        <v>2.19</v>
      </c>
      <c r="K2414" s="32">
        <f>J2414*0.97</f>
        <v>2.1243</v>
      </c>
      <c r="L2414" s="33">
        <v>20</v>
      </c>
      <c r="M2414" s="32">
        <f t="shared" si="190"/>
        <v>106.21499999999999</v>
      </c>
      <c r="N2414" s="74"/>
      <c r="O2414" s="24" t="s">
        <v>1649</v>
      </c>
    </row>
    <row r="2415" spans="9:15" ht="15.75" customHeight="1">
      <c r="I2415" s="52" t="s">
        <v>2896</v>
      </c>
      <c r="J2415" s="66"/>
      <c r="K2415" s="32">
        <v>2.09</v>
      </c>
      <c r="L2415" s="33">
        <v>30</v>
      </c>
      <c r="M2415" s="32">
        <f t="shared" si="190"/>
        <v>69.66666666666667</v>
      </c>
      <c r="N2415" s="74"/>
      <c r="O2415" s="24" t="s">
        <v>943</v>
      </c>
    </row>
    <row r="2416" spans="9:15" ht="15.75" customHeight="1">
      <c r="I2416" s="48" t="s">
        <v>2505</v>
      </c>
      <c r="J2416" s="66">
        <v>1.39</v>
      </c>
      <c r="K2416" s="32">
        <f>J2416*0.97</f>
        <v>1.3482999999999998</v>
      </c>
      <c r="L2416" s="33">
        <v>12</v>
      </c>
      <c r="M2416" s="32">
        <f t="shared" si="190"/>
        <v>112.35833333333332</v>
      </c>
      <c r="N2416" s="74"/>
      <c r="O2416" s="24" t="s">
        <v>1796</v>
      </c>
    </row>
    <row r="2417" spans="9:15" ht="15.75" customHeight="1">
      <c r="I2417" s="176" t="s">
        <v>1312</v>
      </c>
      <c r="J2417" s="96">
        <v>0.99</v>
      </c>
      <c r="K2417" s="29">
        <f>J2417*0.97</f>
        <v>0.9602999999999999</v>
      </c>
      <c r="L2417" s="30">
        <v>12</v>
      </c>
      <c r="M2417" s="32">
        <f t="shared" si="190"/>
        <v>80.025</v>
      </c>
      <c r="N2417" s="74"/>
      <c r="O2417" s="24" t="s">
        <v>84</v>
      </c>
    </row>
    <row r="2418" spans="9:15" ht="15.75" customHeight="1">
      <c r="I2418" s="48" t="s">
        <v>295</v>
      </c>
      <c r="J2418" s="66"/>
      <c r="K2418" s="32">
        <v>1.19</v>
      </c>
      <c r="L2418" s="33">
        <v>12</v>
      </c>
      <c r="M2418" s="32">
        <f t="shared" si="190"/>
        <v>99.16666666666667</v>
      </c>
      <c r="N2418" s="74"/>
      <c r="O2418" s="24" t="s">
        <v>1142</v>
      </c>
    </row>
    <row r="2419" spans="9:15" ht="15.75" customHeight="1">
      <c r="I2419" s="48" t="s">
        <v>1455</v>
      </c>
      <c r="J2419" s="66">
        <v>1.39</v>
      </c>
      <c r="K2419" s="32">
        <f>J2419*0.97</f>
        <v>1.3482999999999998</v>
      </c>
      <c r="L2419" s="33">
        <v>12</v>
      </c>
      <c r="M2419" s="32">
        <f>K2419/L2419*1000</f>
        <v>112.35833333333332</v>
      </c>
      <c r="N2419" s="74"/>
      <c r="O2419" s="24" t="s">
        <v>1796</v>
      </c>
    </row>
    <row r="2420" spans="9:15" ht="15.75" customHeight="1">
      <c r="I2420" s="48" t="s">
        <v>2908</v>
      </c>
      <c r="J2420" s="66">
        <v>2.19</v>
      </c>
      <c r="K2420" s="32">
        <f>J2420*0.97</f>
        <v>2.1243</v>
      </c>
      <c r="L2420" s="33">
        <v>30</v>
      </c>
      <c r="M2420" s="32">
        <f t="shared" si="190"/>
        <v>70.81</v>
      </c>
      <c r="N2420" s="74"/>
      <c r="O2420" s="24" t="s">
        <v>1959</v>
      </c>
    </row>
    <row r="2421" spans="2:15" s="10" customFormat="1" ht="15.75" customHeight="1">
      <c r="B2421" s="218"/>
      <c r="C2421" s="218"/>
      <c r="D2421" s="218"/>
      <c r="E2421" s="737"/>
      <c r="F2421" s="219"/>
      <c r="G2421" s="218"/>
      <c r="H2421" s="218"/>
      <c r="I2421" s="446" t="s">
        <v>1455</v>
      </c>
      <c r="J2421" s="374">
        <v>1.29</v>
      </c>
      <c r="K2421" s="375">
        <f>J2421*0.97</f>
        <v>1.2513</v>
      </c>
      <c r="L2421" s="376">
        <v>12</v>
      </c>
      <c r="M2421" s="375">
        <f t="shared" si="190"/>
        <v>104.275</v>
      </c>
      <c r="N2421" s="250"/>
      <c r="O2421" s="224" t="s">
        <v>3100</v>
      </c>
    </row>
    <row r="2422" spans="2:15" s="3" customFormat="1" ht="15.75" customHeight="1">
      <c r="B2422" s="196"/>
      <c r="C2422" s="196"/>
      <c r="D2422" s="196"/>
      <c r="E2422" s="738"/>
      <c r="F2422" s="199"/>
      <c r="G2422" s="196"/>
      <c r="H2422" s="196"/>
      <c r="I2422" s="823" t="s">
        <v>661</v>
      </c>
      <c r="J2422" s="729"/>
      <c r="K2422" s="111"/>
      <c r="L2422" s="133">
        <v>35</v>
      </c>
      <c r="M2422" s="111"/>
      <c r="N2422" s="74"/>
      <c r="O2422" s="50" t="s">
        <v>662</v>
      </c>
    </row>
    <row r="2423" spans="9:15" ht="15.75" customHeight="1">
      <c r="I2423" s="48" t="s">
        <v>2252</v>
      </c>
      <c r="J2423" s="66"/>
      <c r="K2423" s="32">
        <v>2.39</v>
      </c>
      <c r="L2423" s="33">
        <v>40</v>
      </c>
      <c r="M2423" s="32">
        <f>K2423/L2423*1000</f>
        <v>59.75000000000001</v>
      </c>
      <c r="N2423" s="74"/>
      <c r="O2423" s="24" t="s">
        <v>2065</v>
      </c>
    </row>
    <row r="2424" spans="9:15" ht="15.75" customHeight="1">
      <c r="I2424" s="146" t="s">
        <v>3050</v>
      </c>
      <c r="J2424" s="96"/>
      <c r="K2424" s="29">
        <v>1.99</v>
      </c>
      <c r="L2424" s="30">
        <v>12</v>
      </c>
      <c r="M2424" s="29">
        <f>K2424/L2424*1000</f>
        <v>165.83333333333334</v>
      </c>
      <c r="N2424" s="74"/>
      <c r="O2424" s="24" t="s">
        <v>2731</v>
      </c>
    </row>
    <row r="2425" spans="2:15" s="10" customFormat="1" ht="15.75" customHeight="1">
      <c r="B2425" s="218"/>
      <c r="C2425" s="218"/>
      <c r="D2425" s="218"/>
      <c r="E2425" s="737"/>
      <c r="F2425" s="219"/>
      <c r="G2425" s="218"/>
      <c r="H2425" s="218"/>
      <c r="I2425" s="446" t="s">
        <v>350</v>
      </c>
      <c r="J2425" s="374">
        <v>1.85</v>
      </c>
      <c r="K2425" s="375">
        <f>J2425*0.97</f>
        <v>1.7945</v>
      </c>
      <c r="L2425" s="376">
        <v>12</v>
      </c>
      <c r="M2425" s="375">
        <f t="shared" si="190"/>
        <v>149.54166666666666</v>
      </c>
      <c r="N2425" s="250"/>
      <c r="O2425" s="224" t="s">
        <v>1155</v>
      </c>
    </row>
    <row r="2426" spans="9:15" ht="15.75" customHeight="1">
      <c r="I2426" s="48" t="s">
        <v>411</v>
      </c>
      <c r="J2426" s="66">
        <v>1.29</v>
      </c>
      <c r="K2426" s="32">
        <f>J2426*0.97</f>
        <v>1.2513</v>
      </c>
      <c r="L2426" s="33">
        <v>12</v>
      </c>
      <c r="M2426" s="32">
        <f t="shared" si="190"/>
        <v>104.275</v>
      </c>
      <c r="N2426" s="74"/>
      <c r="O2426" s="24" t="s">
        <v>2208</v>
      </c>
    </row>
    <row r="2427" spans="2:15" s="10" customFormat="1" ht="15.75" customHeight="1">
      <c r="B2427" s="218"/>
      <c r="C2427" s="218"/>
      <c r="D2427" s="218"/>
      <c r="E2427" s="737"/>
      <c r="F2427" s="219"/>
      <c r="G2427" s="218"/>
      <c r="H2427" s="218"/>
      <c r="I2427" s="228" t="s">
        <v>454</v>
      </c>
      <c r="J2427" s="155">
        <v>1.29</v>
      </c>
      <c r="K2427" s="76">
        <f>J2427*0.97</f>
        <v>1.2513</v>
      </c>
      <c r="L2427" s="77">
        <v>12</v>
      </c>
      <c r="M2427" s="76">
        <f t="shared" si="190"/>
        <v>104.275</v>
      </c>
      <c r="N2427" s="250"/>
      <c r="O2427" s="224" t="s">
        <v>3100</v>
      </c>
    </row>
    <row r="2428" spans="9:15" ht="15.75" customHeight="1">
      <c r="I2428" s="48" t="s">
        <v>419</v>
      </c>
      <c r="J2428" s="66"/>
      <c r="K2428" s="32">
        <v>2.79</v>
      </c>
      <c r="L2428" s="33">
        <v>35</v>
      </c>
      <c r="M2428" s="32">
        <f>K2428/L2428*1000</f>
        <v>79.71428571428571</v>
      </c>
      <c r="N2428" s="74"/>
      <c r="O2428" s="24" t="s">
        <v>416</v>
      </c>
    </row>
    <row r="2429" spans="9:15" ht="15.75" customHeight="1">
      <c r="I2429" s="48" t="s">
        <v>1843</v>
      </c>
      <c r="J2429" s="66"/>
      <c r="K2429" s="32">
        <v>1.99</v>
      </c>
      <c r="L2429" s="33">
        <v>35</v>
      </c>
      <c r="M2429" s="32">
        <f t="shared" si="190"/>
        <v>56.857142857142854</v>
      </c>
      <c r="N2429" s="74"/>
      <c r="O2429" s="24" t="s">
        <v>942</v>
      </c>
    </row>
    <row r="2430" spans="9:15" ht="15.75" customHeight="1">
      <c r="I2430" s="280" t="s">
        <v>2993</v>
      </c>
      <c r="J2430" s="41"/>
      <c r="K2430" s="41">
        <v>8.9</v>
      </c>
      <c r="L2430" s="41">
        <v>250</v>
      </c>
      <c r="M2430" s="41">
        <f>K2430/L2430*1000</f>
        <v>35.6</v>
      </c>
      <c r="N2430" s="418"/>
      <c r="O2430" s="125" t="s">
        <v>175</v>
      </c>
    </row>
    <row r="2431" spans="9:15" ht="15.75" customHeight="1">
      <c r="I2431" s="176" t="s">
        <v>2251</v>
      </c>
      <c r="J2431" s="29">
        <v>2.29</v>
      </c>
      <c r="K2431" s="29">
        <f>J2431*0.97</f>
        <v>2.2213</v>
      </c>
      <c r="L2431" s="29">
        <v>35</v>
      </c>
      <c r="M2431" s="29">
        <f>K2431/L2431*1000</f>
        <v>63.46571428571428</v>
      </c>
      <c r="N2431" s="418"/>
      <c r="O2431" s="125" t="s">
        <v>2164</v>
      </c>
    </row>
    <row r="2432" spans="2:15" s="10" customFormat="1" ht="15.75" customHeight="1">
      <c r="B2432" s="218"/>
      <c r="C2432" s="218"/>
      <c r="D2432" s="218"/>
      <c r="E2432" s="737"/>
      <c r="F2432" s="219"/>
      <c r="G2432" s="218"/>
      <c r="H2432" s="218"/>
      <c r="I2432" s="446" t="s">
        <v>607</v>
      </c>
      <c r="J2432" s="374">
        <v>1.95</v>
      </c>
      <c r="K2432" s="375">
        <f>J2432*0.97</f>
        <v>1.8915</v>
      </c>
      <c r="L2432" s="77">
        <v>40</v>
      </c>
      <c r="M2432" s="375">
        <f t="shared" si="190"/>
        <v>47.287499999999994</v>
      </c>
      <c r="N2432" s="250"/>
      <c r="O2432" s="224" t="s">
        <v>2695</v>
      </c>
    </row>
    <row r="2433" spans="2:15" s="3" customFormat="1" ht="15.75" customHeight="1">
      <c r="B2433" s="196"/>
      <c r="C2433" s="196"/>
      <c r="D2433" s="196"/>
      <c r="E2433" s="738"/>
      <c r="F2433" s="199"/>
      <c r="G2433" s="196"/>
      <c r="H2433" s="196"/>
      <c r="I2433" s="791" t="s">
        <v>1481</v>
      </c>
      <c r="J2433" s="602"/>
      <c r="K2433" s="98">
        <v>1.79</v>
      </c>
      <c r="L2433" s="640">
        <v>20</v>
      </c>
      <c r="M2433" s="98">
        <f>K2433/L2433*1000</f>
        <v>89.5</v>
      </c>
      <c r="N2433" s="418"/>
      <c r="O2433" s="792" t="s">
        <v>2320</v>
      </c>
    </row>
    <row r="2434" spans="2:15" s="3" customFormat="1" ht="15.75" customHeight="1" thickBot="1">
      <c r="B2434" s="196"/>
      <c r="C2434" s="196"/>
      <c r="D2434" s="196"/>
      <c r="E2434" s="738"/>
      <c r="F2434" s="199"/>
      <c r="G2434" s="196"/>
      <c r="H2434" s="196"/>
      <c r="I2434" s="652" t="s">
        <v>1855</v>
      </c>
      <c r="J2434" s="253"/>
      <c r="K2434" s="95">
        <v>1.99</v>
      </c>
      <c r="L2434" s="134">
        <v>20</v>
      </c>
      <c r="M2434" s="95">
        <f>K2434/L2434*1000</f>
        <v>99.5</v>
      </c>
      <c r="N2434" s="74"/>
      <c r="O2434" s="50" t="s">
        <v>2632</v>
      </c>
    </row>
    <row r="2435" spans="2:15" s="3" customFormat="1" ht="15.75" customHeight="1">
      <c r="B2435" s="196"/>
      <c r="C2435" s="196"/>
      <c r="D2435" s="196"/>
      <c r="E2435" s="738"/>
      <c r="F2435" s="199"/>
      <c r="G2435" s="196"/>
      <c r="H2435" s="196"/>
      <c r="I2435" s="652" t="s">
        <v>864</v>
      </c>
      <c r="J2435" s="253">
        <v>2.29</v>
      </c>
      <c r="K2435" s="95">
        <f>J2435*0.97</f>
        <v>2.2213</v>
      </c>
      <c r="L2435" s="947">
        <v>18</v>
      </c>
      <c r="M2435" s="946">
        <f>K2435/L2435*1000</f>
        <v>123.40555555555555</v>
      </c>
      <c r="N2435" s="74"/>
      <c r="O2435" s="50" t="s">
        <v>2877</v>
      </c>
    </row>
    <row r="2436" spans="2:15" s="10" customFormat="1" ht="15.75" customHeight="1" thickBot="1">
      <c r="B2436" s="218"/>
      <c r="C2436" s="218"/>
      <c r="D2436" s="218"/>
      <c r="E2436" s="737"/>
      <c r="F2436" s="219"/>
      <c r="G2436" s="218"/>
      <c r="H2436" s="218"/>
      <c r="I2436" s="228" t="s">
        <v>2842</v>
      </c>
      <c r="J2436" s="155">
        <v>1.69</v>
      </c>
      <c r="K2436" s="76">
        <f>J2436*0.97</f>
        <v>1.6393</v>
      </c>
      <c r="L2436" s="948">
        <v>30</v>
      </c>
      <c r="M2436" s="76">
        <f t="shared" si="190"/>
        <v>54.64333333333334</v>
      </c>
      <c r="N2436" s="250"/>
      <c r="O2436" s="224" t="s">
        <v>608</v>
      </c>
    </row>
    <row r="2437" spans="9:15" ht="15.75" customHeight="1">
      <c r="I2437" s="72" t="s">
        <v>3127</v>
      </c>
      <c r="J2437" s="66">
        <v>2.09</v>
      </c>
      <c r="K2437" s="32">
        <f>J2437*0.97</f>
        <v>2.0273</v>
      </c>
      <c r="L2437" s="33">
        <v>15</v>
      </c>
      <c r="M2437" s="32">
        <f t="shared" si="190"/>
        <v>135.1533333333333</v>
      </c>
      <c r="N2437" s="74"/>
      <c r="O2437" s="24" t="s">
        <v>946</v>
      </c>
    </row>
    <row r="2438" spans="9:15" ht="15.75" customHeight="1">
      <c r="I2438" s="248" t="s">
        <v>1581</v>
      </c>
      <c r="J2438" s="66">
        <v>2.29</v>
      </c>
      <c r="K2438" s="32">
        <f>J2438*0.97</f>
        <v>2.2213</v>
      </c>
      <c r="L2438" s="33">
        <v>15</v>
      </c>
      <c r="M2438" s="32">
        <f>K2438/L2438*1000</f>
        <v>148.08666666666664</v>
      </c>
      <c r="N2438" s="74"/>
      <c r="O2438" s="24" t="s">
        <v>2877</v>
      </c>
    </row>
    <row r="2439" spans="9:15" ht="15.75" customHeight="1">
      <c r="I2439" s="48" t="s">
        <v>1983</v>
      </c>
      <c r="J2439" s="66"/>
      <c r="K2439" s="32">
        <v>1.99</v>
      </c>
      <c r="L2439" s="33">
        <v>15</v>
      </c>
      <c r="M2439" s="32">
        <f t="shared" si="190"/>
        <v>132.66666666666666</v>
      </c>
      <c r="N2439" s="74"/>
      <c r="O2439" s="24" t="s">
        <v>1930</v>
      </c>
    </row>
    <row r="2440" spans="9:15" ht="15.75" customHeight="1">
      <c r="I2440" s="48" t="s">
        <v>594</v>
      </c>
      <c r="J2440" s="66"/>
      <c r="K2440" s="32">
        <v>1.99</v>
      </c>
      <c r="L2440" s="33">
        <v>15</v>
      </c>
      <c r="M2440" s="32">
        <f aca="true" t="shared" si="191" ref="M2440:M2482">K2440/L2440*1000</f>
        <v>132.66666666666666</v>
      </c>
      <c r="N2440" s="74"/>
      <c r="O2440" s="24" t="s">
        <v>289</v>
      </c>
    </row>
    <row r="2441" spans="2:15" s="10" customFormat="1" ht="15.75" customHeight="1">
      <c r="B2441" s="218"/>
      <c r="C2441" s="218"/>
      <c r="D2441" s="218"/>
      <c r="E2441" s="737"/>
      <c r="F2441" s="219"/>
      <c r="G2441" s="218"/>
      <c r="H2441" s="218"/>
      <c r="I2441" s="445" t="s">
        <v>2321</v>
      </c>
      <c r="J2441" s="155"/>
      <c r="K2441" s="76">
        <v>1.85</v>
      </c>
      <c r="L2441" s="77">
        <v>15</v>
      </c>
      <c r="M2441" s="76">
        <f t="shared" si="191"/>
        <v>123.33333333333334</v>
      </c>
      <c r="N2441" s="250"/>
      <c r="O2441" s="224" t="s">
        <v>2840</v>
      </c>
    </row>
    <row r="2442" spans="9:15" ht="15.75" customHeight="1">
      <c r="I2442" s="48" t="s">
        <v>1944</v>
      </c>
      <c r="J2442" s="66"/>
      <c r="K2442" s="32">
        <v>1.99</v>
      </c>
      <c r="L2442" s="33">
        <v>15</v>
      </c>
      <c r="M2442" s="32">
        <f t="shared" si="191"/>
        <v>132.66666666666666</v>
      </c>
      <c r="N2442" s="74"/>
      <c r="O2442" s="24" t="s">
        <v>1930</v>
      </c>
    </row>
    <row r="2443" spans="9:15" ht="15.75" customHeight="1">
      <c r="I2443" s="48" t="s">
        <v>2018</v>
      </c>
      <c r="J2443" s="66"/>
      <c r="K2443" s="32">
        <v>1.99</v>
      </c>
      <c r="L2443" s="33">
        <v>15</v>
      </c>
      <c r="M2443" s="32">
        <f t="shared" si="191"/>
        <v>132.66666666666666</v>
      </c>
      <c r="N2443" s="74"/>
      <c r="O2443" s="24" t="s">
        <v>942</v>
      </c>
    </row>
    <row r="2444" spans="9:15" ht="15.75" customHeight="1">
      <c r="I2444" s="52" t="s">
        <v>2869</v>
      </c>
      <c r="J2444" s="66">
        <v>2.29</v>
      </c>
      <c r="K2444" s="32">
        <f>J2444*0.97</f>
        <v>2.2213</v>
      </c>
      <c r="L2444" s="33">
        <v>15</v>
      </c>
      <c r="M2444" s="32">
        <f t="shared" si="191"/>
        <v>148.08666666666664</v>
      </c>
      <c r="N2444" s="74"/>
      <c r="O2444" s="24" t="s">
        <v>2877</v>
      </c>
    </row>
    <row r="2445" spans="9:15" ht="15.75" customHeight="1">
      <c r="I2445" s="146" t="s">
        <v>1652</v>
      </c>
      <c r="J2445" s="96">
        <v>1.99</v>
      </c>
      <c r="K2445" s="29">
        <f>J2445*0.97</f>
        <v>1.9303</v>
      </c>
      <c r="L2445" s="30">
        <v>15</v>
      </c>
      <c r="M2445" s="29">
        <f t="shared" si="191"/>
        <v>128.68666666666667</v>
      </c>
      <c r="N2445" s="74"/>
      <c r="O2445" s="24" t="s">
        <v>2099</v>
      </c>
    </row>
    <row r="2446" spans="2:15" s="10" customFormat="1" ht="15.75" customHeight="1">
      <c r="B2446" s="218"/>
      <c r="C2446" s="218"/>
      <c r="D2446" s="218"/>
      <c r="E2446" s="737"/>
      <c r="F2446" s="219"/>
      <c r="G2446" s="218"/>
      <c r="H2446" s="218"/>
      <c r="I2446" s="446" t="s">
        <v>2788</v>
      </c>
      <c r="J2446" s="374">
        <v>1.95</v>
      </c>
      <c r="K2446" s="375">
        <f>J2446*0.97</f>
        <v>1.8915</v>
      </c>
      <c r="L2446" s="376">
        <v>15</v>
      </c>
      <c r="M2446" s="375">
        <f t="shared" si="191"/>
        <v>126.1</v>
      </c>
      <c r="N2446" s="250"/>
      <c r="O2446" s="224" t="s">
        <v>608</v>
      </c>
    </row>
    <row r="2447" spans="2:15" s="3" customFormat="1" ht="15.75" customHeight="1">
      <c r="B2447" s="196"/>
      <c r="C2447" s="196"/>
      <c r="D2447" s="196"/>
      <c r="E2447" s="738"/>
      <c r="F2447" s="199"/>
      <c r="G2447" s="196"/>
      <c r="H2447" s="196"/>
      <c r="I2447" s="233" t="s">
        <v>453</v>
      </c>
      <c r="J2447" s="100"/>
      <c r="K2447" s="639">
        <v>10.18</v>
      </c>
      <c r="L2447" s="304">
        <v>500</v>
      </c>
      <c r="M2447" s="58">
        <f>K2447/L2447*1000</f>
        <v>20.36</v>
      </c>
      <c r="N2447" s="74"/>
      <c r="O2447" s="50" t="s">
        <v>1985</v>
      </c>
    </row>
    <row r="2448" spans="9:15" ht="15.75" customHeight="1">
      <c r="I2448" s="146" t="s">
        <v>570</v>
      </c>
      <c r="J2448" s="61"/>
      <c r="K2448" s="29">
        <v>2.29</v>
      </c>
      <c r="L2448" s="30">
        <v>50</v>
      </c>
      <c r="M2448" s="29">
        <f t="shared" si="191"/>
        <v>45.8</v>
      </c>
      <c r="N2448" s="418"/>
      <c r="O2448" s="125" t="s">
        <v>2013</v>
      </c>
    </row>
    <row r="2449" spans="9:15" ht="15.75" customHeight="1">
      <c r="I2449" s="417" t="s">
        <v>2655</v>
      </c>
      <c r="J2449" s="61"/>
      <c r="K2449" s="41">
        <v>2.59</v>
      </c>
      <c r="L2449" s="297">
        <v>50</v>
      </c>
      <c r="M2449" s="32">
        <f>K2449/L2449*1000</f>
        <v>51.8</v>
      </c>
      <c r="N2449" s="418"/>
      <c r="O2449" s="51" t="s">
        <v>2670</v>
      </c>
    </row>
    <row r="2450" spans="9:15" ht="15.75" customHeight="1">
      <c r="I2450" s="417" t="s">
        <v>1717</v>
      </c>
      <c r="J2450" s="61"/>
      <c r="K2450" s="41">
        <v>2.19</v>
      </c>
      <c r="L2450" s="42">
        <v>35</v>
      </c>
      <c r="M2450" s="32">
        <f t="shared" si="191"/>
        <v>62.57142857142857</v>
      </c>
      <c r="N2450" s="418"/>
      <c r="O2450" s="125" t="s">
        <v>2670</v>
      </c>
    </row>
    <row r="2451" spans="9:15" ht="15.75" customHeight="1">
      <c r="I2451" s="72" t="s">
        <v>2</v>
      </c>
      <c r="J2451" s="66"/>
      <c r="K2451" s="32">
        <v>1.99</v>
      </c>
      <c r="L2451" s="33">
        <v>35</v>
      </c>
      <c r="M2451" s="32">
        <f t="shared" si="191"/>
        <v>56.857142857142854</v>
      </c>
      <c r="N2451" s="74"/>
      <c r="O2451" s="24" t="s">
        <v>1244</v>
      </c>
    </row>
    <row r="2452" spans="9:15" ht="15.75" customHeight="1">
      <c r="I2452" s="891" t="s">
        <v>3084</v>
      </c>
      <c r="J2452" s="120">
        <v>2.89</v>
      </c>
      <c r="K2452" s="22">
        <f>J2452*0.97</f>
        <v>2.8033</v>
      </c>
      <c r="L2452" s="23">
        <v>12</v>
      </c>
      <c r="M2452" s="22">
        <f t="shared" si="191"/>
        <v>233.60833333333335</v>
      </c>
      <c r="N2452" s="74"/>
      <c r="O2452" s="24" t="s">
        <v>2353</v>
      </c>
    </row>
    <row r="2453" spans="9:15" ht="15.75" customHeight="1">
      <c r="I2453" s="91" t="s">
        <v>224</v>
      </c>
      <c r="J2453" s="120">
        <v>2.89</v>
      </c>
      <c r="K2453" s="22">
        <f>J2453*0.97</f>
        <v>2.8033</v>
      </c>
      <c r="L2453" s="23">
        <v>50</v>
      </c>
      <c r="M2453" s="22">
        <f>K2453/L2453*1000</f>
        <v>56.066</v>
      </c>
      <c r="N2453" s="74"/>
      <c r="O2453" s="24" t="s">
        <v>778</v>
      </c>
    </row>
    <row r="2454" spans="2:15" s="10" customFormat="1" ht="15.75" customHeight="1">
      <c r="B2454" s="218"/>
      <c r="C2454" s="218"/>
      <c r="D2454" s="218"/>
      <c r="E2454" s="737"/>
      <c r="F2454" s="219"/>
      <c r="G2454" s="218"/>
      <c r="H2454" s="218"/>
      <c r="I2454" s="1387" t="s">
        <v>2543</v>
      </c>
      <c r="J2454" s="1389">
        <v>1.89</v>
      </c>
      <c r="K2454" s="1366">
        <f>J2454*0.97</f>
        <v>1.8333</v>
      </c>
      <c r="L2454" s="1367">
        <v>50</v>
      </c>
      <c r="M2454" s="1366">
        <f t="shared" si="191"/>
        <v>36.666</v>
      </c>
      <c r="N2454" s="250"/>
      <c r="O2454" s="224" t="s">
        <v>181</v>
      </c>
    </row>
    <row r="2455" spans="2:15" s="10" customFormat="1" ht="15.75" customHeight="1">
      <c r="B2455" s="218"/>
      <c r="C2455" s="218"/>
      <c r="D2455" s="218"/>
      <c r="E2455" s="737"/>
      <c r="F2455" s="219"/>
      <c r="G2455" s="218"/>
      <c r="H2455" s="218"/>
      <c r="I2455" s="446" t="s">
        <v>3105</v>
      </c>
      <c r="J2455" s="375"/>
      <c r="K2455" s="375">
        <v>1.99</v>
      </c>
      <c r="L2455" s="376">
        <v>25</v>
      </c>
      <c r="M2455" s="375">
        <f t="shared" si="191"/>
        <v>79.60000000000001</v>
      </c>
      <c r="N2455" s="654"/>
      <c r="O2455" s="224" t="s">
        <v>318</v>
      </c>
    </row>
    <row r="2456" spans="9:15" ht="15.75" customHeight="1">
      <c r="I2456" s="891" t="s">
        <v>277</v>
      </c>
      <c r="J2456" s="22">
        <v>2.29</v>
      </c>
      <c r="K2456" s="22">
        <f>J2456*0.97</f>
        <v>2.2213</v>
      </c>
      <c r="L2456" s="23">
        <v>40</v>
      </c>
      <c r="M2456" s="22">
        <f>K2456/L2456*1000</f>
        <v>55.5325</v>
      </c>
      <c r="N2456" s="1386"/>
      <c r="O2456" s="24" t="s">
        <v>2307</v>
      </c>
    </row>
    <row r="2457" spans="2:15" s="10" customFormat="1" ht="15.75" customHeight="1">
      <c r="B2457" s="218"/>
      <c r="C2457" s="218"/>
      <c r="D2457" s="218"/>
      <c r="E2457" s="737"/>
      <c r="F2457" s="219"/>
      <c r="G2457" s="218"/>
      <c r="H2457" s="218"/>
      <c r="I2457" s="1387" t="s">
        <v>3083</v>
      </c>
      <c r="J2457" s="1366"/>
      <c r="K2457" s="1366">
        <v>1.99</v>
      </c>
      <c r="L2457" s="1367">
        <v>40</v>
      </c>
      <c r="M2457" s="1366">
        <f>K2457/L2457*1000</f>
        <v>49.75</v>
      </c>
      <c r="N2457" s="1388" t="s">
        <v>2404</v>
      </c>
      <c r="O2457" s="224" t="s">
        <v>2256</v>
      </c>
    </row>
    <row r="2458" spans="9:15" ht="15.75" customHeight="1">
      <c r="I2458" s="248" t="s">
        <v>2994</v>
      </c>
      <c r="J2458" s="32"/>
      <c r="K2458" s="32">
        <v>11.9</v>
      </c>
      <c r="L2458" s="33">
        <v>250</v>
      </c>
      <c r="M2458" s="32">
        <f>K2458/L2458*1000</f>
        <v>47.6</v>
      </c>
      <c r="N2458" s="211"/>
      <c r="O2458" s="24" t="s">
        <v>175</v>
      </c>
    </row>
    <row r="2459" spans="9:15" ht="15.75" customHeight="1">
      <c r="I2459" s="48" t="s">
        <v>2576</v>
      </c>
      <c r="J2459" s="32"/>
      <c r="K2459" s="32">
        <v>1.99</v>
      </c>
      <c r="L2459" s="33">
        <v>40</v>
      </c>
      <c r="M2459" s="32">
        <f>K2459/L2459*1000</f>
        <v>49.75</v>
      </c>
      <c r="N2459" s="27"/>
      <c r="O2459" s="24" t="s">
        <v>689</v>
      </c>
    </row>
    <row r="2460" spans="9:15" ht="15.75" customHeight="1">
      <c r="I2460" s="48" t="s">
        <v>1443</v>
      </c>
      <c r="J2460" s="41">
        <v>2.29</v>
      </c>
      <c r="K2460" s="41">
        <f aca="true" t="shared" si="192" ref="K2460:K2465">J2460*0.97</f>
        <v>2.2213</v>
      </c>
      <c r="L2460" s="42">
        <v>40</v>
      </c>
      <c r="M2460" s="41">
        <f>K2460/L2460*1000</f>
        <v>55.5325</v>
      </c>
      <c r="N2460" s="27"/>
      <c r="O2460" s="24" t="s">
        <v>1444</v>
      </c>
    </row>
    <row r="2461" spans="9:15" ht="15.75" customHeight="1">
      <c r="I2461" s="891" t="s">
        <v>276</v>
      </c>
      <c r="J2461" s="22">
        <v>2.29</v>
      </c>
      <c r="K2461" s="22">
        <f t="shared" si="192"/>
        <v>2.2213</v>
      </c>
      <c r="L2461" s="23">
        <v>40</v>
      </c>
      <c r="M2461" s="22">
        <f t="shared" si="191"/>
        <v>55.5325</v>
      </c>
      <c r="N2461" s="27"/>
      <c r="O2461" s="24" t="s">
        <v>689</v>
      </c>
    </row>
    <row r="2462" spans="2:15" s="10" customFormat="1" ht="15.75" customHeight="1">
      <c r="B2462" s="218"/>
      <c r="C2462" s="218"/>
      <c r="D2462" s="218"/>
      <c r="E2462" s="737"/>
      <c r="F2462" s="219"/>
      <c r="G2462" s="218"/>
      <c r="H2462" s="218"/>
      <c r="I2462" s="228" t="s">
        <v>442</v>
      </c>
      <c r="J2462" s="76">
        <v>2.29</v>
      </c>
      <c r="K2462" s="76">
        <f t="shared" si="192"/>
        <v>2.2213</v>
      </c>
      <c r="L2462" s="77">
        <v>40</v>
      </c>
      <c r="M2462" s="76">
        <f t="shared" si="191"/>
        <v>55.5325</v>
      </c>
      <c r="N2462" s="1382"/>
      <c r="O2462" s="224" t="s">
        <v>1738</v>
      </c>
    </row>
    <row r="2463" spans="9:15" ht="15.75" customHeight="1">
      <c r="I2463" s="178" t="s">
        <v>102</v>
      </c>
      <c r="J2463" s="32">
        <v>2.39</v>
      </c>
      <c r="K2463" s="32">
        <f t="shared" si="192"/>
        <v>2.3183000000000002</v>
      </c>
      <c r="L2463" s="33">
        <v>50</v>
      </c>
      <c r="M2463" s="32">
        <f>K2463/L2463*1000</f>
        <v>46.36600000000001</v>
      </c>
      <c r="N2463" s="27"/>
      <c r="O2463" s="24" t="s">
        <v>2065</v>
      </c>
    </row>
    <row r="2464" spans="2:16" s="10" customFormat="1" ht="15.75" customHeight="1">
      <c r="B2464" s="218"/>
      <c r="C2464" s="218"/>
      <c r="D2464" s="218"/>
      <c r="E2464" s="737"/>
      <c r="F2464" s="219"/>
      <c r="G2464" s="218"/>
      <c r="H2464" s="218"/>
      <c r="I2464" s="1383" t="s">
        <v>302</v>
      </c>
      <c r="J2464" s="374">
        <v>1.99</v>
      </c>
      <c r="K2464" s="375">
        <f t="shared" si="192"/>
        <v>1.9303</v>
      </c>
      <c r="L2464" s="376">
        <v>50</v>
      </c>
      <c r="M2464" s="375">
        <f t="shared" si="191"/>
        <v>38.606</v>
      </c>
      <c r="N2464" s="1382"/>
      <c r="O2464" s="224" t="s">
        <v>2337</v>
      </c>
      <c r="P2464" s="10" t="s">
        <v>560</v>
      </c>
    </row>
    <row r="2465" spans="9:15" ht="15.75" customHeight="1">
      <c r="I2465" s="891" t="s">
        <v>3082</v>
      </c>
      <c r="J2465" s="120">
        <v>2.19</v>
      </c>
      <c r="K2465" s="22">
        <f t="shared" si="192"/>
        <v>2.1243</v>
      </c>
      <c r="L2465" s="23">
        <v>60</v>
      </c>
      <c r="M2465" s="22">
        <f>K2465/L2465*1000</f>
        <v>35.405</v>
      </c>
      <c r="N2465" s="74"/>
      <c r="O2465" s="24" t="s">
        <v>2434</v>
      </c>
    </row>
    <row r="2466" spans="9:15" ht="15.75" customHeight="1">
      <c r="I2466" s="248" t="s">
        <v>3085</v>
      </c>
      <c r="J2466" s="61"/>
      <c r="K2466" s="41">
        <v>12.9</v>
      </c>
      <c r="L2466" s="42">
        <v>500</v>
      </c>
      <c r="M2466" s="44">
        <f>K2466/L2466*1000</f>
        <v>25.8</v>
      </c>
      <c r="N2466" s="74"/>
      <c r="O2466" s="716" t="s">
        <v>175</v>
      </c>
    </row>
    <row r="2467" spans="9:15" ht="15.75" customHeight="1">
      <c r="I2467" s="72" t="s">
        <v>2995</v>
      </c>
      <c r="J2467" s="61"/>
      <c r="K2467" s="41"/>
      <c r="L2467" s="42">
        <v>1000</v>
      </c>
      <c r="M2467" s="44">
        <v>18</v>
      </c>
      <c r="N2467" s="74"/>
      <c r="O2467" s="716" t="s">
        <v>175</v>
      </c>
    </row>
    <row r="2468" spans="9:15" ht="15.75" customHeight="1">
      <c r="I2468" s="248" t="s">
        <v>2996</v>
      </c>
      <c r="J2468" s="61"/>
      <c r="K2468" s="41">
        <v>11.95</v>
      </c>
      <c r="L2468" s="42">
        <v>500</v>
      </c>
      <c r="M2468" s="276">
        <f>K2468/L2468*1000</f>
        <v>23.9</v>
      </c>
      <c r="N2468" s="74"/>
      <c r="O2468" s="448" t="s">
        <v>3121</v>
      </c>
    </row>
    <row r="2469" spans="9:15" ht="15.75" customHeight="1">
      <c r="I2469" s="1390" t="s">
        <v>2997</v>
      </c>
      <c r="J2469" s="55"/>
      <c r="K2469" s="16"/>
      <c r="L2469" s="7"/>
      <c r="M2469" s="16">
        <v>9.1</v>
      </c>
      <c r="N2469" s="74"/>
      <c r="O2469" s="716" t="s">
        <v>175</v>
      </c>
    </row>
    <row r="2470" spans="9:15" ht="15.75" customHeight="1">
      <c r="I2470" s="89" t="s">
        <v>262</v>
      </c>
      <c r="J2470" s="152"/>
      <c r="K2470" s="129">
        <v>0.99</v>
      </c>
      <c r="L2470" s="128">
        <v>140</v>
      </c>
      <c r="M2470" s="129">
        <f>K2470/L2470*1000</f>
        <v>7.071428571428571</v>
      </c>
      <c r="N2470" s="74"/>
      <c r="O2470" s="24" t="s">
        <v>3121</v>
      </c>
    </row>
    <row r="2471" spans="9:15" ht="15.75" customHeight="1">
      <c r="I2471" s="89" t="s">
        <v>1483</v>
      </c>
      <c r="J2471" s="152"/>
      <c r="K2471" s="129">
        <v>0.99</v>
      </c>
      <c r="L2471" s="128">
        <v>140</v>
      </c>
      <c r="M2471" s="129">
        <f>K2471/L2471*1000</f>
        <v>7.071428571428571</v>
      </c>
      <c r="N2471" s="74"/>
      <c r="O2471" s="24" t="s">
        <v>637</v>
      </c>
    </row>
    <row r="2472" spans="9:15" ht="15.75" customHeight="1">
      <c r="I2472" s="87" t="s">
        <v>1643</v>
      </c>
      <c r="J2472" s="55"/>
      <c r="K2472" s="16">
        <v>0.89</v>
      </c>
      <c r="L2472" s="7">
        <v>50</v>
      </c>
      <c r="M2472" s="16">
        <f>K2472/L2472*1000</f>
        <v>17.8</v>
      </c>
      <c r="N2472" s="74"/>
      <c r="O2472" s="51" t="s">
        <v>637</v>
      </c>
    </row>
    <row r="2473" spans="2:15" s="10" customFormat="1" ht="15.75" customHeight="1">
      <c r="B2473" s="218"/>
      <c r="C2473" s="218"/>
      <c r="D2473" s="218"/>
      <c r="E2473" s="737"/>
      <c r="F2473" s="219"/>
      <c r="G2473" s="218"/>
      <c r="H2473" s="218"/>
      <c r="I2473" s="1391" t="s">
        <v>55</v>
      </c>
      <c r="J2473" s="326"/>
      <c r="K2473" s="222">
        <v>0.89</v>
      </c>
      <c r="L2473" s="223">
        <v>50</v>
      </c>
      <c r="M2473" s="222">
        <f t="shared" si="191"/>
        <v>17.8</v>
      </c>
      <c r="N2473" s="250"/>
      <c r="O2473" s="909" t="s">
        <v>637</v>
      </c>
    </row>
    <row r="2474" spans="9:15" ht="15.75" customHeight="1">
      <c r="I2474" s="48" t="s">
        <v>720</v>
      </c>
      <c r="J2474" s="66"/>
      <c r="K2474" s="32">
        <v>4.19</v>
      </c>
      <c r="L2474" s="33">
        <v>150</v>
      </c>
      <c r="M2474" s="32">
        <f>K2474/L2474*1000</f>
        <v>27.933333333333334</v>
      </c>
      <c r="N2474" s="74"/>
      <c r="O2474" s="448" t="s">
        <v>2337</v>
      </c>
    </row>
    <row r="2475" spans="9:15" ht="15.75" customHeight="1">
      <c r="I2475" s="48" t="s">
        <v>2757</v>
      </c>
      <c r="J2475" s="66"/>
      <c r="K2475" s="32">
        <v>2.39</v>
      </c>
      <c r="L2475" s="33">
        <v>40</v>
      </c>
      <c r="M2475" s="32">
        <f t="shared" si="191"/>
        <v>59.75000000000001</v>
      </c>
      <c r="N2475" s="74"/>
      <c r="O2475" s="24" t="s">
        <v>1663</v>
      </c>
    </row>
    <row r="2476" spans="9:15" ht="15.75" customHeight="1">
      <c r="I2476" s="146" t="s">
        <v>2757</v>
      </c>
      <c r="J2476" s="96"/>
      <c r="K2476" s="29">
        <v>1.99</v>
      </c>
      <c r="L2476" s="30">
        <v>40</v>
      </c>
      <c r="M2476" s="29">
        <f t="shared" si="191"/>
        <v>49.75</v>
      </c>
      <c r="N2476" s="74"/>
      <c r="O2476" s="24" t="s">
        <v>551</v>
      </c>
    </row>
    <row r="2477" spans="9:15" ht="15.75" customHeight="1">
      <c r="I2477" s="91" t="s">
        <v>922</v>
      </c>
      <c r="J2477" s="120"/>
      <c r="K2477" s="22">
        <f>J2478*0.9</f>
        <v>2.061</v>
      </c>
      <c r="L2477" s="23">
        <v>40</v>
      </c>
      <c r="M2477" s="22">
        <f>K2477/L2477*1000</f>
        <v>51.525</v>
      </c>
      <c r="N2477" s="1385" t="s">
        <v>1398</v>
      </c>
      <c r="O2477" s="24" t="s">
        <v>2455</v>
      </c>
    </row>
    <row r="2478" spans="9:15" ht="15.75" customHeight="1">
      <c r="I2478" s="91" t="s">
        <v>922</v>
      </c>
      <c r="J2478" s="120">
        <v>2.29</v>
      </c>
      <c r="K2478" s="22">
        <f>J2478*0.97</f>
        <v>2.2213</v>
      </c>
      <c r="L2478" s="23">
        <v>40</v>
      </c>
      <c r="M2478" s="22">
        <f t="shared" si="191"/>
        <v>55.5325</v>
      </c>
      <c r="N2478" s="1386"/>
      <c r="O2478" s="716" t="s">
        <v>2455</v>
      </c>
    </row>
    <row r="2479" spans="9:15" ht="15.75" customHeight="1">
      <c r="I2479" s="146" t="s">
        <v>1314</v>
      </c>
      <c r="J2479" s="96">
        <v>1.89</v>
      </c>
      <c r="K2479" s="29">
        <f>J2479*0.97</f>
        <v>1.8333</v>
      </c>
      <c r="L2479" s="30">
        <v>50</v>
      </c>
      <c r="M2479" s="29">
        <f t="shared" si="191"/>
        <v>36.666</v>
      </c>
      <c r="N2479" s="74"/>
      <c r="O2479" s="24" t="s">
        <v>181</v>
      </c>
    </row>
    <row r="2480" spans="9:15" ht="15.75" customHeight="1">
      <c r="I2480" s="48" t="s">
        <v>1836</v>
      </c>
      <c r="J2480" s="66"/>
      <c r="K2480" s="32">
        <v>1.99</v>
      </c>
      <c r="L2480" s="33">
        <v>20</v>
      </c>
      <c r="M2480" s="32">
        <f t="shared" si="191"/>
        <v>99.5</v>
      </c>
      <c r="N2480" s="74"/>
      <c r="O2480" s="24" t="s">
        <v>1298</v>
      </c>
    </row>
    <row r="2481" spans="9:15" ht="15.75" customHeight="1">
      <c r="I2481" s="91" t="s">
        <v>87</v>
      </c>
      <c r="J2481" s="120">
        <v>2.19</v>
      </c>
      <c r="K2481" s="22">
        <f>J2481*0.97</f>
        <v>2.1243</v>
      </c>
      <c r="L2481" s="23">
        <v>20</v>
      </c>
      <c r="M2481" s="22">
        <f>K2481/L2481*1000</f>
        <v>106.21499999999999</v>
      </c>
      <c r="N2481" s="74"/>
      <c r="O2481" s="24" t="s">
        <v>2065</v>
      </c>
    </row>
    <row r="2482" spans="9:15" ht="15.75" customHeight="1">
      <c r="I2482" s="91" t="s">
        <v>2028</v>
      </c>
      <c r="J2482" s="120">
        <v>1.95</v>
      </c>
      <c r="K2482" s="22">
        <f>J2482*0.97</f>
        <v>1.8915</v>
      </c>
      <c r="L2482" s="23">
        <v>20</v>
      </c>
      <c r="M2482" s="22">
        <f t="shared" si="191"/>
        <v>94.57499999999999</v>
      </c>
      <c r="N2482" s="74"/>
      <c r="O2482" s="24" t="s">
        <v>2213</v>
      </c>
    </row>
    <row r="2483" spans="9:14" ht="15.75" customHeight="1">
      <c r="I2483" s="355" t="s">
        <v>2077</v>
      </c>
      <c r="J2483" s="66"/>
      <c r="K2483" s="32"/>
      <c r="L2483" s="33"/>
      <c r="M2483" s="32"/>
      <c r="N2483" s="74"/>
    </row>
    <row r="2484" spans="2:15" s="447" customFormat="1" ht="15.75" customHeight="1">
      <c r="B2484" s="319"/>
      <c r="C2484" s="319"/>
      <c r="D2484" s="319"/>
      <c r="E2484" s="735"/>
      <c r="F2484" s="483"/>
      <c r="G2484" s="319"/>
      <c r="H2484" s="319"/>
      <c r="I2484" s="596" t="s">
        <v>1932</v>
      </c>
      <c r="J2484" s="320"/>
      <c r="K2484" s="321">
        <v>26.6</v>
      </c>
      <c r="L2484" s="447">
        <v>600</v>
      </c>
      <c r="M2484" s="32">
        <f>K2484/L2484*1000</f>
        <v>44.333333333333336</v>
      </c>
      <c r="N2484" s="597"/>
      <c r="O2484" s="448" t="s">
        <v>2124</v>
      </c>
    </row>
    <row r="2485" spans="9:15" ht="15.75" customHeight="1">
      <c r="I2485" s="1297" t="s">
        <v>1451</v>
      </c>
      <c r="J2485" s="148"/>
      <c r="K2485" s="148">
        <v>0.68</v>
      </c>
      <c r="L2485" s="149">
        <v>100</v>
      </c>
      <c r="M2485" s="148">
        <f>K2485/L2485*1000</f>
        <v>6.800000000000001</v>
      </c>
      <c r="N2485" s="211"/>
      <c r="O2485" s="24" t="s">
        <v>269</v>
      </c>
    </row>
    <row r="2486" spans="9:15" ht="15.75" customHeight="1">
      <c r="I2486" s="1297" t="s">
        <v>1451</v>
      </c>
      <c r="J2486" s="148"/>
      <c r="K2486" s="148">
        <v>0.71</v>
      </c>
      <c r="L2486" s="149">
        <v>100</v>
      </c>
      <c r="M2486" s="148">
        <f>K2486/L2486*1000</f>
        <v>7.1</v>
      </c>
      <c r="N2486" s="211"/>
      <c r="O2486" s="716" t="s">
        <v>2455</v>
      </c>
    </row>
    <row r="2487" spans="9:15" ht="15.75" customHeight="1">
      <c r="I2487" s="87" t="s">
        <v>1678</v>
      </c>
      <c r="J2487" s="16"/>
      <c r="K2487" s="16">
        <v>0.99</v>
      </c>
      <c r="L2487" s="7">
        <v>140</v>
      </c>
      <c r="M2487" s="16">
        <f>K2487/L2487*1000</f>
        <v>7.071428571428571</v>
      </c>
      <c r="N2487" s="27"/>
      <c r="O2487" s="448" t="s">
        <v>1489</v>
      </c>
    </row>
    <row r="2488" spans="9:15" ht="15.75" customHeight="1">
      <c r="I2488" s="263" t="s">
        <v>413</v>
      </c>
      <c r="J2488" s="148"/>
      <c r="K2488" s="148">
        <v>1.49</v>
      </c>
      <c r="L2488" s="149">
        <v>250</v>
      </c>
      <c r="M2488" s="721">
        <f>K2488/L2488*1000</f>
        <v>5.96</v>
      </c>
      <c r="N2488" s="27"/>
      <c r="O2488" s="448" t="s">
        <v>1281</v>
      </c>
    </row>
    <row r="2489" spans="9:15" ht="15.75" customHeight="1">
      <c r="I2489" s="87" t="s">
        <v>1612</v>
      </c>
      <c r="J2489" s="16"/>
      <c r="K2489" s="16">
        <v>0.99</v>
      </c>
      <c r="L2489" s="7">
        <v>140</v>
      </c>
      <c r="M2489" s="16">
        <f aca="true" t="shared" si="193" ref="M2489:M2494">K2489/L2489*1000</f>
        <v>7.071428571428571</v>
      </c>
      <c r="N2489" s="27"/>
      <c r="O2489" s="448" t="s">
        <v>1170</v>
      </c>
    </row>
    <row r="2490" spans="9:15" ht="15.75" customHeight="1">
      <c r="I2490" s="1109" t="s">
        <v>2419</v>
      </c>
      <c r="J2490" s="68"/>
      <c r="K2490" s="68">
        <v>1.05</v>
      </c>
      <c r="L2490" s="69">
        <v>140</v>
      </c>
      <c r="M2490" s="68">
        <f t="shared" si="193"/>
        <v>7.500000000000001</v>
      </c>
      <c r="N2490" s="211"/>
      <c r="O2490" s="24" t="s">
        <v>1607</v>
      </c>
    </row>
    <row r="2491" spans="9:15" ht="15.75" customHeight="1">
      <c r="I2491" s="179" t="s">
        <v>2456</v>
      </c>
      <c r="J2491" s="400"/>
      <c r="K2491" s="400">
        <v>2.49</v>
      </c>
      <c r="L2491" s="395">
        <v>40</v>
      </c>
      <c r="M2491" s="400">
        <f t="shared" si="193"/>
        <v>62.25000000000001</v>
      </c>
      <c r="N2491" s="74"/>
      <c r="O2491" s="448" t="s">
        <v>776</v>
      </c>
    </row>
    <row r="2492" spans="9:15" ht="15.75" customHeight="1">
      <c r="I2492" s="179" t="s">
        <v>2923</v>
      </c>
      <c r="J2492" s="400">
        <v>2.39</v>
      </c>
      <c r="K2492" s="400">
        <f>J2492*0.97</f>
        <v>2.3183000000000002</v>
      </c>
      <c r="L2492" s="395">
        <v>40</v>
      </c>
      <c r="M2492" s="400">
        <f t="shared" si="193"/>
        <v>57.95750000000001</v>
      </c>
      <c r="N2492" s="74"/>
      <c r="O2492" s="448" t="s">
        <v>1738</v>
      </c>
    </row>
    <row r="2493" spans="9:15" ht="15.75" customHeight="1">
      <c r="I2493" s="1052" t="s">
        <v>2829</v>
      </c>
      <c r="J2493" s="439">
        <v>2.19</v>
      </c>
      <c r="K2493" s="400">
        <f>J2493*0.97</f>
        <v>2.1243</v>
      </c>
      <c r="L2493" s="395">
        <v>40</v>
      </c>
      <c r="M2493" s="400">
        <f t="shared" si="193"/>
        <v>53.107499999999995</v>
      </c>
      <c r="N2493" s="74"/>
      <c r="O2493" s="24" t="s">
        <v>1607</v>
      </c>
    </row>
    <row r="2494" spans="2:15" s="447" customFormat="1" ht="15.75" customHeight="1">
      <c r="B2494" s="319"/>
      <c r="C2494" s="319"/>
      <c r="D2494" s="319"/>
      <c r="E2494" s="735"/>
      <c r="F2494" s="483"/>
      <c r="G2494" s="319"/>
      <c r="H2494" s="319"/>
      <c r="I2494" s="596" t="s">
        <v>874</v>
      </c>
      <c r="J2494" s="320"/>
      <c r="K2494" s="321">
        <v>2.39</v>
      </c>
      <c r="L2494" s="447">
        <v>40</v>
      </c>
      <c r="M2494" s="32">
        <f t="shared" si="193"/>
        <v>59.75000000000001</v>
      </c>
      <c r="N2494" s="597"/>
      <c r="O2494" s="448" t="s">
        <v>2031</v>
      </c>
    </row>
    <row r="2495" spans="2:15" s="447" customFormat="1" ht="15.75" customHeight="1">
      <c r="B2495" s="319"/>
      <c r="C2495" s="319"/>
      <c r="D2495" s="319"/>
      <c r="E2495" s="735"/>
      <c r="F2495" s="483"/>
      <c r="G2495" s="319"/>
      <c r="H2495" s="319"/>
      <c r="I2495" s="596" t="s">
        <v>1974</v>
      </c>
      <c r="J2495" s="320"/>
      <c r="K2495" s="321">
        <v>1.99</v>
      </c>
      <c r="L2495" s="447">
        <v>40</v>
      </c>
      <c r="M2495" s="32">
        <f aca="true" t="shared" si="194" ref="M2495:M2501">K2495/L2495*1000</f>
        <v>49.75</v>
      </c>
      <c r="N2495" s="597"/>
      <c r="O2495" s="448" t="s">
        <v>2537</v>
      </c>
    </row>
    <row r="2496" spans="9:14" ht="15.75" customHeight="1">
      <c r="I2496" s="179"/>
      <c r="J2496" s="66"/>
      <c r="K2496" s="32"/>
      <c r="L2496" s="33"/>
      <c r="M2496" s="32"/>
      <c r="N2496" s="74"/>
    </row>
    <row r="2497" spans="9:15" ht="15.75" customHeight="1">
      <c r="I2497" s="176" t="s">
        <v>93</v>
      </c>
      <c r="J2497" s="96"/>
      <c r="K2497" s="29">
        <v>1.99</v>
      </c>
      <c r="L2497" s="30">
        <v>50</v>
      </c>
      <c r="M2497" s="29">
        <f t="shared" si="194"/>
        <v>39.800000000000004</v>
      </c>
      <c r="N2497" s="74"/>
      <c r="O2497" s="24" t="s">
        <v>2731</v>
      </c>
    </row>
    <row r="2498" spans="9:15" ht="15.75" customHeight="1">
      <c r="I2498" s="52" t="s">
        <v>2458</v>
      </c>
      <c r="J2498" s="431"/>
      <c r="K2498" s="32">
        <v>1.99</v>
      </c>
      <c r="L2498" s="42">
        <v>50</v>
      </c>
      <c r="M2498" s="32">
        <f t="shared" si="194"/>
        <v>39.800000000000004</v>
      </c>
      <c r="N2498" s="74"/>
      <c r="O2498" s="24" t="s">
        <v>2537</v>
      </c>
    </row>
    <row r="2499" spans="9:15" ht="15.75" customHeight="1">
      <c r="I2499" s="48" t="s">
        <v>313</v>
      </c>
      <c r="J2499" s="66"/>
      <c r="K2499" s="32">
        <v>1.99</v>
      </c>
      <c r="L2499" s="33">
        <v>40</v>
      </c>
      <c r="M2499" s="32">
        <f t="shared" si="194"/>
        <v>49.75</v>
      </c>
      <c r="N2499" s="74"/>
      <c r="O2499" s="24" t="s">
        <v>252</v>
      </c>
    </row>
    <row r="2500" spans="9:15" ht="15.75" customHeight="1">
      <c r="I2500" s="176" t="s">
        <v>2805</v>
      </c>
      <c r="J2500" s="96">
        <v>7.95</v>
      </c>
      <c r="K2500" s="29">
        <f>J2500*0.97</f>
        <v>7.7115</v>
      </c>
      <c r="L2500" s="30">
        <v>250</v>
      </c>
      <c r="M2500" s="29">
        <f t="shared" si="194"/>
        <v>30.846</v>
      </c>
      <c r="N2500" s="74"/>
      <c r="O2500" s="24" t="s">
        <v>2736</v>
      </c>
    </row>
    <row r="2501" spans="9:15" ht="15.75" customHeight="1">
      <c r="I2501" s="281" t="s">
        <v>2805</v>
      </c>
      <c r="J2501" s="66">
        <v>8.95</v>
      </c>
      <c r="K2501" s="32">
        <f>J2501*0.97</f>
        <v>8.6815</v>
      </c>
      <c r="L2501" s="33">
        <v>250</v>
      </c>
      <c r="M2501" s="32">
        <f t="shared" si="194"/>
        <v>34.726</v>
      </c>
      <c r="N2501" s="74"/>
      <c r="O2501" s="24" t="s">
        <v>1796</v>
      </c>
    </row>
    <row r="2502" spans="9:14" ht="9.75" customHeight="1">
      <c r="I2502" s="281"/>
      <c r="J2502" s="66"/>
      <c r="K2502" s="32"/>
      <c r="L2502" s="33"/>
      <c r="M2502" s="32"/>
      <c r="N2502" s="74"/>
    </row>
    <row r="2503" spans="9:15" ht="15.75">
      <c r="I2503" s="52" t="s">
        <v>2956</v>
      </c>
      <c r="J2503" s="66">
        <v>22.9</v>
      </c>
      <c r="K2503" s="32">
        <f aca="true" t="shared" si="195" ref="K2503:K2517">J2503*0.97</f>
        <v>22.212999999999997</v>
      </c>
      <c r="L2503" s="33">
        <v>20</v>
      </c>
      <c r="M2503" s="41">
        <f aca="true" t="shared" si="196" ref="M2503:M2516">K2503/L2503*1000</f>
        <v>1110.6499999999999</v>
      </c>
      <c r="N2503" s="74"/>
      <c r="O2503" s="24" t="s">
        <v>646</v>
      </c>
    </row>
    <row r="2504" spans="2:15" s="10" customFormat="1" ht="15">
      <c r="B2504" s="218"/>
      <c r="C2504" s="218"/>
      <c r="D2504" s="218"/>
      <c r="E2504" s="737"/>
      <c r="F2504" s="219"/>
      <c r="G2504" s="218"/>
      <c r="H2504" s="218"/>
      <c r="I2504" s="790" t="s">
        <v>358</v>
      </c>
      <c r="J2504" s="360">
        <v>11.76</v>
      </c>
      <c r="K2504" s="76">
        <f t="shared" si="195"/>
        <v>11.4072</v>
      </c>
      <c r="L2504" s="361">
        <v>10</v>
      </c>
      <c r="M2504" s="360">
        <f t="shared" si="196"/>
        <v>1140.72</v>
      </c>
      <c r="N2504" s="250"/>
      <c r="O2504" s="224"/>
    </row>
    <row r="2505" spans="2:15" s="3" customFormat="1" ht="15">
      <c r="B2505" s="196"/>
      <c r="C2505" s="196"/>
      <c r="D2505" s="196"/>
      <c r="E2505" s="738"/>
      <c r="F2505" s="199"/>
      <c r="G2505" s="196"/>
      <c r="H2505" s="196"/>
      <c r="I2505" s="791" t="s">
        <v>3193</v>
      </c>
      <c r="J2505" s="98"/>
      <c r="K2505" s="95"/>
      <c r="L2505" s="640"/>
      <c r="M2505" s="98">
        <v>16.99</v>
      </c>
      <c r="N2505" s="74"/>
      <c r="O2505" s="1399" t="s">
        <v>3180</v>
      </c>
    </row>
    <row r="2506" spans="2:15" s="3" customFormat="1" ht="15.75">
      <c r="B2506" s="196"/>
      <c r="C2506" s="196"/>
      <c r="D2506" s="196"/>
      <c r="E2506" s="738"/>
      <c r="F2506" s="199"/>
      <c r="G2506" s="196"/>
      <c r="H2506" s="196"/>
      <c r="I2506" s="791" t="s">
        <v>1933</v>
      </c>
      <c r="J2506" s="98"/>
      <c r="K2506" s="98"/>
      <c r="L2506" s="640"/>
      <c r="M2506" s="41">
        <v>18.6</v>
      </c>
      <c r="N2506" s="74"/>
      <c r="O2506" s="1399" t="s">
        <v>3180</v>
      </c>
    </row>
    <row r="2507" spans="2:15" s="3" customFormat="1" ht="15.75">
      <c r="B2507" s="196"/>
      <c r="C2507" s="196"/>
      <c r="D2507" s="196"/>
      <c r="E2507" s="738"/>
      <c r="F2507" s="199"/>
      <c r="G2507" s="196"/>
      <c r="H2507" s="196"/>
      <c r="I2507" s="1577" t="s">
        <v>3192</v>
      </c>
      <c r="J2507" s="1462"/>
      <c r="K2507" s="1462"/>
      <c r="L2507" s="1463"/>
      <c r="M2507" s="1470">
        <v>22.4</v>
      </c>
      <c r="N2507" s="74"/>
      <c r="O2507" s="669" t="s">
        <v>2124</v>
      </c>
    </row>
    <row r="2508" spans="2:15" s="3" customFormat="1" ht="15">
      <c r="B2508" s="196"/>
      <c r="C2508" s="196"/>
      <c r="D2508" s="196"/>
      <c r="E2508" s="738"/>
      <c r="F2508" s="199"/>
      <c r="G2508" s="196"/>
      <c r="H2508" s="196"/>
      <c r="I2508" s="1372" t="s">
        <v>2250</v>
      </c>
      <c r="J2508" s="98"/>
      <c r="K2508" s="95">
        <v>15.71</v>
      </c>
      <c r="L2508" s="640">
        <v>1000</v>
      </c>
      <c r="M2508" s="41">
        <f>K2508/L2508*1000</f>
        <v>15.71</v>
      </c>
      <c r="N2508" s="74"/>
      <c r="O2508" s="50" t="s">
        <v>2124</v>
      </c>
    </row>
    <row r="2509" spans="2:15" s="3" customFormat="1" ht="15">
      <c r="B2509" s="196"/>
      <c r="C2509" s="196"/>
      <c r="D2509" s="196"/>
      <c r="E2509" s="738"/>
      <c r="F2509" s="199"/>
      <c r="G2509" s="196"/>
      <c r="H2509" s="196"/>
      <c r="I2509" s="823" t="s">
        <v>1728</v>
      </c>
      <c r="J2509" s="111"/>
      <c r="K2509" s="29">
        <v>2.39</v>
      </c>
      <c r="L2509" s="30">
        <v>120</v>
      </c>
      <c r="M2509" s="29">
        <f>K2509/L2509*1000</f>
        <v>19.916666666666668</v>
      </c>
      <c r="N2509" s="115"/>
      <c r="O2509" s="1371" t="s">
        <v>2455</v>
      </c>
    </row>
    <row r="2510" spans="2:15" s="3" customFormat="1" ht="15.75">
      <c r="B2510" s="196"/>
      <c r="C2510" s="196"/>
      <c r="D2510" s="196"/>
      <c r="E2510" s="738"/>
      <c r="F2510" s="199"/>
      <c r="G2510" s="196"/>
      <c r="H2510" s="196"/>
      <c r="I2510" s="1280" t="s">
        <v>920</v>
      </c>
      <c r="J2510" s="98"/>
      <c r="K2510" s="98">
        <f>J2511*0.9</f>
        <v>2.061</v>
      </c>
      <c r="L2510" s="640">
        <v>120</v>
      </c>
      <c r="M2510" s="41">
        <f>K2510/L2510*1000</f>
        <v>17.175</v>
      </c>
      <c r="N2510" s="1034" t="s">
        <v>1398</v>
      </c>
      <c r="O2510" s="669" t="s">
        <v>2455</v>
      </c>
    </row>
    <row r="2511" spans="2:15" s="3" customFormat="1" ht="15.75">
      <c r="B2511" s="196"/>
      <c r="C2511" s="196"/>
      <c r="D2511" s="196"/>
      <c r="E2511" s="738"/>
      <c r="F2511" s="199"/>
      <c r="G2511" s="196"/>
      <c r="H2511" s="196"/>
      <c r="I2511" s="791" t="s">
        <v>586</v>
      </c>
      <c r="J2511" s="98">
        <v>2.29</v>
      </c>
      <c r="K2511" s="98">
        <f t="shared" si="195"/>
        <v>2.2213</v>
      </c>
      <c r="L2511" s="640">
        <v>120</v>
      </c>
      <c r="M2511" s="41">
        <f t="shared" si="196"/>
        <v>18.51083333333333</v>
      </c>
      <c r="N2511" s="74"/>
      <c r="O2511" s="722" t="s">
        <v>2455</v>
      </c>
    </row>
    <row r="2512" spans="4:15" ht="15.75">
      <c r="D2512" s="195" t="s">
        <v>2948</v>
      </c>
      <c r="I2512" s="146" t="s">
        <v>1835</v>
      </c>
      <c r="J2512" s="96">
        <v>2.1</v>
      </c>
      <c r="K2512" s="29">
        <f t="shared" si="195"/>
        <v>2.037</v>
      </c>
      <c r="L2512" s="30">
        <v>120</v>
      </c>
      <c r="M2512" s="29">
        <f t="shared" si="196"/>
        <v>16.975</v>
      </c>
      <c r="N2512" s="1034" t="s">
        <v>1729</v>
      </c>
      <c r="O2512" s="24" t="s">
        <v>1868</v>
      </c>
    </row>
    <row r="2513" spans="9:15" ht="15.75">
      <c r="I2513" s="146" t="s">
        <v>166</v>
      </c>
      <c r="J2513" s="96">
        <v>2.99</v>
      </c>
      <c r="K2513" s="29">
        <f t="shared" si="195"/>
        <v>2.9003</v>
      </c>
      <c r="L2513" s="30">
        <v>70</v>
      </c>
      <c r="M2513" s="29">
        <f t="shared" si="196"/>
        <v>41.432857142857145</v>
      </c>
      <c r="N2513" s="74"/>
      <c r="O2513" s="24" t="s">
        <v>2083</v>
      </c>
    </row>
    <row r="2514" spans="9:15" ht="15.75">
      <c r="I2514" s="146" t="s">
        <v>166</v>
      </c>
      <c r="J2514" s="96">
        <v>2.19</v>
      </c>
      <c r="K2514" s="29">
        <f t="shared" si="195"/>
        <v>2.1243</v>
      </c>
      <c r="L2514" s="30">
        <v>70</v>
      </c>
      <c r="M2514" s="29">
        <f t="shared" si="196"/>
        <v>30.347142857142853</v>
      </c>
      <c r="N2514" s="74"/>
      <c r="O2514" s="24" t="s">
        <v>2736</v>
      </c>
    </row>
    <row r="2515" spans="9:15" ht="15">
      <c r="I2515" s="146" t="s">
        <v>359</v>
      </c>
      <c r="J2515" s="96">
        <v>1.49</v>
      </c>
      <c r="K2515" s="29">
        <f t="shared" si="195"/>
        <v>1.4453</v>
      </c>
      <c r="L2515" s="30">
        <v>125</v>
      </c>
      <c r="M2515" s="29">
        <f t="shared" si="196"/>
        <v>11.5624</v>
      </c>
      <c r="N2515" s="74"/>
      <c r="O2515" s="24" t="s">
        <v>946</v>
      </c>
    </row>
    <row r="2516" spans="2:15" s="10" customFormat="1" ht="15">
      <c r="B2516" s="218"/>
      <c r="C2516" s="218"/>
      <c r="D2516" s="218"/>
      <c r="E2516" s="737"/>
      <c r="F2516" s="219"/>
      <c r="G2516" s="218"/>
      <c r="H2516" s="218"/>
      <c r="I2516" s="446" t="s">
        <v>359</v>
      </c>
      <c r="J2516" s="374">
        <v>1.18</v>
      </c>
      <c r="K2516" s="375">
        <f t="shared" si="195"/>
        <v>1.1445999999999998</v>
      </c>
      <c r="L2516" s="376">
        <v>125</v>
      </c>
      <c r="M2516" s="375">
        <f t="shared" si="196"/>
        <v>9.156799999999999</v>
      </c>
      <c r="N2516" s="250"/>
      <c r="O2516" s="224" t="s">
        <v>646</v>
      </c>
    </row>
    <row r="2517" spans="9:15" ht="15">
      <c r="I2517" s="891" t="s">
        <v>1550</v>
      </c>
      <c r="J2517" s="120">
        <v>2.1</v>
      </c>
      <c r="K2517" s="22">
        <f t="shared" si="195"/>
        <v>2.037</v>
      </c>
      <c r="L2517" s="23">
        <v>25</v>
      </c>
      <c r="M2517" s="22">
        <f aca="true" t="shared" si="197" ref="M2517:M2522">K2517/L2517*1000</f>
        <v>81.47999999999999</v>
      </c>
      <c r="N2517" s="121"/>
      <c r="O2517" s="24" t="s">
        <v>1804</v>
      </c>
    </row>
    <row r="2518" spans="9:15" ht="15">
      <c r="I2518" s="48" t="s">
        <v>1885</v>
      </c>
      <c r="J2518" s="66"/>
      <c r="K2518" s="32">
        <v>1.99</v>
      </c>
      <c r="L2518" s="33">
        <v>10</v>
      </c>
      <c r="M2518" s="32">
        <f t="shared" si="197"/>
        <v>199</v>
      </c>
      <c r="N2518" s="74"/>
      <c r="O2518" s="24" t="s">
        <v>689</v>
      </c>
    </row>
    <row r="2519" spans="9:15" ht="15">
      <c r="I2519" s="48" t="s">
        <v>1014</v>
      </c>
      <c r="J2519" s="66"/>
      <c r="K2519" s="32">
        <v>1.99</v>
      </c>
      <c r="L2519" s="33">
        <v>10</v>
      </c>
      <c r="M2519" s="32">
        <f t="shared" si="197"/>
        <v>199</v>
      </c>
      <c r="N2519" s="74"/>
      <c r="O2519" s="24" t="s">
        <v>252</v>
      </c>
    </row>
    <row r="2520" spans="9:15" ht="15">
      <c r="I2520" s="417" t="s">
        <v>3129</v>
      </c>
      <c r="J2520" s="61">
        <v>2.29</v>
      </c>
      <c r="K2520" s="41">
        <f>J2520*0.99</f>
        <v>2.2671</v>
      </c>
      <c r="L2520" s="42">
        <v>18</v>
      </c>
      <c r="M2520" s="41">
        <f>K2520/L2520*1000</f>
        <v>125.95</v>
      </c>
      <c r="N2520" s="418"/>
      <c r="O2520" s="125" t="s">
        <v>1868</v>
      </c>
    </row>
    <row r="2521" spans="9:15" ht="15">
      <c r="I2521" s="417" t="s">
        <v>717</v>
      </c>
      <c r="J2521" s="96"/>
      <c r="K2521" s="29">
        <v>2.19</v>
      </c>
      <c r="L2521" s="30">
        <v>18</v>
      </c>
      <c r="M2521" s="29">
        <f t="shared" si="197"/>
        <v>121.66666666666666</v>
      </c>
      <c r="N2521" s="74"/>
      <c r="O2521" s="24" t="s">
        <v>2670</v>
      </c>
    </row>
    <row r="2522" spans="9:15" ht="15">
      <c r="I2522" s="179" t="s">
        <v>2445</v>
      </c>
      <c r="J2522" s="38"/>
      <c r="K2522" s="25">
        <v>2.39</v>
      </c>
      <c r="L2522" s="33">
        <v>18</v>
      </c>
      <c r="M2522" s="32">
        <f t="shared" si="197"/>
        <v>132.77777777777777</v>
      </c>
      <c r="N2522" s="74"/>
      <c r="O2522" s="24" t="s">
        <v>2670</v>
      </c>
    </row>
    <row r="2523" spans="9:14" ht="15">
      <c r="I2523" s="179"/>
      <c r="J2523" s="38"/>
      <c r="K2523" s="25"/>
      <c r="L2523" s="33"/>
      <c r="M2523" s="32"/>
      <c r="N2523" s="74"/>
    </row>
    <row r="2524" ht="12.75"/>
    <row r="2525" spans="9:15" ht="18">
      <c r="I2525" s="355" t="s">
        <v>3095</v>
      </c>
      <c r="J2525" s="159"/>
      <c r="K2525" s="35"/>
      <c r="L2525" s="36" t="s">
        <v>487</v>
      </c>
      <c r="M2525" s="36" t="s">
        <v>488</v>
      </c>
      <c r="N2525" s="36"/>
      <c r="O2525" s="88"/>
    </row>
    <row r="2526" spans="9:15" ht="12.75">
      <c r="I2526" s="109" t="s">
        <v>1710</v>
      </c>
      <c r="J2526" s="120"/>
      <c r="K2526" s="22">
        <v>1.5</v>
      </c>
      <c r="L2526" s="23">
        <v>2000</v>
      </c>
      <c r="M2526" s="22">
        <f aca="true" t="shared" si="198" ref="M2526:M2531">K2526/L2526*1000</f>
        <v>0.75</v>
      </c>
      <c r="N2526" s="36"/>
      <c r="O2526" s="125" t="s">
        <v>2488</v>
      </c>
    </row>
    <row r="2527" spans="9:15" ht="12.75">
      <c r="I2527" s="97" t="s">
        <v>676</v>
      </c>
      <c r="J2527" s="61"/>
      <c r="K2527" s="41">
        <v>1.97</v>
      </c>
      <c r="L2527" s="42">
        <v>1800</v>
      </c>
      <c r="M2527" s="41">
        <f t="shared" si="198"/>
        <v>1.0944444444444443</v>
      </c>
      <c r="N2527" s="36"/>
      <c r="O2527" s="125" t="s">
        <v>890</v>
      </c>
    </row>
    <row r="2528" spans="9:15" ht="12.75">
      <c r="I2528" s="21" t="s">
        <v>676</v>
      </c>
      <c r="J2528" s="120"/>
      <c r="K2528" s="22">
        <v>1.99</v>
      </c>
      <c r="L2528" s="23">
        <v>1800</v>
      </c>
      <c r="M2528" s="22">
        <f t="shared" si="198"/>
        <v>1.1055555555555556</v>
      </c>
      <c r="N2528" s="36"/>
      <c r="O2528" s="125" t="s">
        <v>2584</v>
      </c>
    </row>
    <row r="2529" spans="9:15" ht="12.75">
      <c r="I2529" s="277" t="s">
        <v>2921</v>
      </c>
      <c r="J2529" s="61"/>
      <c r="K2529" s="41">
        <v>1.89</v>
      </c>
      <c r="L2529" s="42">
        <v>1800</v>
      </c>
      <c r="M2529" s="41">
        <f t="shared" si="198"/>
        <v>1.05</v>
      </c>
      <c r="N2529" s="36"/>
      <c r="O2529" s="125" t="s">
        <v>2584</v>
      </c>
    </row>
    <row r="2530" spans="9:15" ht="12.75">
      <c r="I2530" s="71" t="s">
        <v>2260</v>
      </c>
      <c r="J2530" s="96"/>
      <c r="K2530" s="29">
        <v>1.79</v>
      </c>
      <c r="L2530" s="30">
        <v>1800</v>
      </c>
      <c r="M2530" s="29">
        <f t="shared" si="198"/>
        <v>0.9944444444444445</v>
      </c>
      <c r="N2530" s="36"/>
      <c r="O2530" s="125" t="s">
        <v>689</v>
      </c>
    </row>
    <row r="2531" spans="9:15" ht="12.75">
      <c r="I2531" s="277" t="s">
        <v>1976</v>
      </c>
      <c r="J2531" s="61"/>
      <c r="K2531" s="41">
        <v>1.97</v>
      </c>
      <c r="L2531" s="42">
        <v>1800</v>
      </c>
      <c r="M2531" s="41">
        <f t="shared" si="198"/>
        <v>1.0944444444444443</v>
      </c>
      <c r="N2531" s="36"/>
      <c r="O2531" s="88" t="s">
        <v>415</v>
      </c>
    </row>
    <row r="2532" spans="9:15" ht="12.75">
      <c r="I2532" s="40" t="s">
        <v>880</v>
      </c>
      <c r="J2532" s="61"/>
      <c r="K2532" s="41"/>
      <c r="L2532" s="42"/>
      <c r="M2532" s="41"/>
      <c r="N2532" s="36"/>
      <c r="O2532" s="51" t="s">
        <v>2390</v>
      </c>
    </row>
    <row r="2533" spans="9:15" ht="10.5" customHeight="1">
      <c r="I2533" s="147" t="s">
        <v>176</v>
      </c>
      <c r="J2533" s="684"/>
      <c r="K2533" s="721">
        <v>1.49</v>
      </c>
      <c r="L2533" s="680">
        <v>2000</v>
      </c>
      <c r="M2533" s="592">
        <f>K2533/L2533*1000</f>
        <v>0.745</v>
      </c>
      <c r="N2533" s="36"/>
      <c r="O2533" s="88" t="s">
        <v>289</v>
      </c>
    </row>
    <row r="2534" spans="9:15" ht="12.75">
      <c r="I2534" s="80"/>
      <c r="J2534" s="105"/>
      <c r="K2534" s="35"/>
      <c r="L2534" s="36"/>
      <c r="M2534" s="35"/>
      <c r="N2534" s="36"/>
      <c r="O2534" s="88"/>
    </row>
    <row r="2535" spans="9:15" ht="12.75">
      <c r="I2535" s="80"/>
      <c r="J2535" s="105"/>
      <c r="K2535" s="35"/>
      <c r="L2535" s="36"/>
      <c r="M2535" s="35"/>
      <c r="N2535" s="36"/>
      <c r="O2535" s="88"/>
    </row>
    <row r="2536" spans="9:15" ht="12.75">
      <c r="I2536" s="82" t="s">
        <v>476</v>
      </c>
      <c r="J2536" s="105"/>
      <c r="K2536" s="35">
        <v>0.99</v>
      </c>
      <c r="L2536" s="36">
        <v>3</v>
      </c>
      <c r="M2536" s="35">
        <f>K2536/L2536</f>
        <v>0.33</v>
      </c>
      <c r="N2536" s="36"/>
      <c r="O2536" s="88" t="s">
        <v>2310</v>
      </c>
    </row>
    <row r="2537" spans="9:15" ht="12.75">
      <c r="I2537" s="28" t="s">
        <v>2008</v>
      </c>
      <c r="J2537" s="96"/>
      <c r="K2537" s="29">
        <v>0.89</v>
      </c>
      <c r="L2537" s="30">
        <v>4</v>
      </c>
      <c r="M2537" s="29">
        <f>K2537/L2537</f>
        <v>0.2225</v>
      </c>
      <c r="N2537" s="30"/>
      <c r="O2537" s="54" t="s">
        <v>1724</v>
      </c>
    </row>
    <row r="2538" spans="9:15" ht="12.75">
      <c r="I2538" s="80"/>
      <c r="J2538" s="105"/>
      <c r="K2538" s="35"/>
      <c r="L2538" s="36"/>
      <c r="M2538" s="35"/>
      <c r="N2538" s="36"/>
      <c r="O2538" s="88"/>
    </row>
    <row r="2539" spans="9:15" ht="15.75">
      <c r="I2539" s="91" t="s">
        <v>1998</v>
      </c>
      <c r="J2539" s="120">
        <v>3.25</v>
      </c>
      <c r="K2539" s="22">
        <f>J2539*0.97</f>
        <v>3.1525</v>
      </c>
      <c r="L2539" s="23">
        <v>575</v>
      </c>
      <c r="M2539" s="22">
        <f>K2539/L2539*1000</f>
        <v>5.482608695652174</v>
      </c>
      <c r="N2539" s="23" t="s">
        <v>2681</v>
      </c>
      <c r="O2539" s="88" t="s">
        <v>1035</v>
      </c>
    </row>
    <row r="2540" spans="9:15" ht="15.75">
      <c r="I2540" s="176" t="s">
        <v>1998</v>
      </c>
      <c r="J2540" s="96">
        <v>3.95</v>
      </c>
      <c r="K2540" s="29">
        <f>J2540*0.97</f>
        <v>3.8315</v>
      </c>
      <c r="L2540" s="30">
        <v>580</v>
      </c>
      <c r="M2540" s="29">
        <f>K2540/L2540*1000</f>
        <v>6.606034482758621</v>
      </c>
      <c r="N2540" s="30" t="s">
        <v>2681</v>
      </c>
      <c r="O2540" s="88" t="s">
        <v>1016</v>
      </c>
    </row>
    <row r="2541" spans="9:15" ht="15.75">
      <c r="I2541" s="263" t="s">
        <v>1998</v>
      </c>
      <c r="J2541" s="162">
        <v>4.49</v>
      </c>
      <c r="K2541" s="148">
        <f>J2541*0.97</f>
        <v>4.3553</v>
      </c>
      <c r="L2541" s="149">
        <v>585</v>
      </c>
      <c r="M2541" s="148">
        <f>K2541/L2541*1000</f>
        <v>7.444957264957265</v>
      </c>
      <c r="N2541" s="149" t="s">
        <v>2681</v>
      </c>
      <c r="O2541" s="88" t="s">
        <v>1531</v>
      </c>
    </row>
    <row r="2542" spans="9:15" ht="15.75">
      <c r="I2542" s="79" t="s">
        <v>1998</v>
      </c>
      <c r="J2542" s="105">
        <v>4.99</v>
      </c>
      <c r="K2542" s="35">
        <f>J2542*0.97</f>
        <v>4.8403</v>
      </c>
      <c r="L2542" s="36">
        <v>585</v>
      </c>
      <c r="M2542" s="35">
        <f>K2542/L2542*1000</f>
        <v>8.274017094017093</v>
      </c>
      <c r="N2542" s="36" t="s">
        <v>2681</v>
      </c>
      <c r="O2542" s="88" t="s">
        <v>2353</v>
      </c>
    </row>
    <row r="2543" spans="9:15" ht="15.75">
      <c r="I2543" s="79"/>
      <c r="J2543" s="105"/>
      <c r="K2543" s="35"/>
      <c r="L2543" s="36"/>
      <c r="M2543" s="35"/>
      <c r="N2543" s="36"/>
      <c r="O2543" s="88"/>
    </row>
    <row r="2544" spans="9:15" ht="15.75">
      <c r="I2544" s="79"/>
      <c r="J2544" s="105"/>
      <c r="K2544" s="35"/>
      <c r="L2544" s="36"/>
      <c r="M2544" s="35"/>
      <c r="N2544" s="36"/>
      <c r="O2544" s="88"/>
    </row>
    <row r="2545" spans="9:15" ht="15.75">
      <c r="I2545" s="79" t="s">
        <v>1511</v>
      </c>
      <c r="J2545" s="105"/>
      <c r="K2545" s="35"/>
      <c r="L2545" s="36" t="s">
        <v>151</v>
      </c>
      <c r="M2545" s="35" t="s">
        <v>2039</v>
      </c>
      <c r="N2545" s="36"/>
      <c r="O2545" s="88"/>
    </row>
    <row r="2546" spans="9:16" ht="12.75">
      <c r="I2546" s="80" t="s">
        <v>2636</v>
      </c>
      <c r="J2546" s="105"/>
      <c r="K2546" s="35">
        <v>21.45</v>
      </c>
      <c r="L2546" s="36">
        <v>90</v>
      </c>
      <c r="M2546" s="229">
        <f>K2546/L2546*100</f>
        <v>23.833333333333332</v>
      </c>
      <c r="N2546" s="36"/>
      <c r="O2546" s="832" t="s">
        <v>776</v>
      </c>
      <c r="P2546" s="108" t="s">
        <v>2346</v>
      </c>
    </row>
    <row r="2547" spans="9:15" ht="12.75">
      <c r="I2547" s="799" t="s">
        <v>150</v>
      </c>
      <c r="J2547" s="270"/>
      <c r="K2547" s="272">
        <v>19.95</v>
      </c>
      <c r="L2547" s="271">
        <v>90</v>
      </c>
      <c r="M2547" s="1022">
        <f aca="true" t="shared" si="199" ref="M2547:M2554">K2547/L2547*100</f>
        <v>22.166666666666664</v>
      </c>
      <c r="N2547" s="36"/>
      <c r="O2547" s="832" t="s">
        <v>1910</v>
      </c>
    </row>
    <row r="2548" spans="9:15" ht="12.75">
      <c r="I2548" s="799" t="s">
        <v>1620</v>
      </c>
      <c r="J2548" s="270"/>
      <c r="K2548" s="272">
        <v>5.5</v>
      </c>
      <c r="L2548" s="271">
        <v>25</v>
      </c>
      <c r="M2548" s="271">
        <f t="shared" si="199"/>
        <v>22</v>
      </c>
      <c r="N2548" s="36"/>
      <c r="O2548" s="832" t="s">
        <v>1910</v>
      </c>
    </row>
    <row r="2549" spans="9:16" ht="12.75">
      <c r="I2549" s="147" t="s">
        <v>150</v>
      </c>
      <c r="J2549" s="162"/>
      <c r="K2549" s="148">
        <v>17.8</v>
      </c>
      <c r="L2549" s="149">
        <v>90</v>
      </c>
      <c r="M2549" s="912">
        <f t="shared" si="199"/>
        <v>19.77777777777778</v>
      </c>
      <c r="N2549" s="149" t="s">
        <v>587</v>
      </c>
      <c r="O2549" s="88" t="s">
        <v>1925</v>
      </c>
      <c r="P2549" s="110"/>
    </row>
    <row r="2550" spans="9:16" ht="12.75">
      <c r="I2550" s="123" t="s">
        <v>1236</v>
      </c>
      <c r="J2550" s="162"/>
      <c r="K2550" s="148">
        <v>25.5</v>
      </c>
      <c r="L2550" s="149">
        <v>90</v>
      </c>
      <c r="M2550" s="912">
        <f t="shared" si="199"/>
        <v>28.333333333333332</v>
      </c>
      <c r="N2550" s="149" t="s">
        <v>1900</v>
      </c>
      <c r="O2550" s="88" t="s">
        <v>675</v>
      </c>
      <c r="P2550" s="35"/>
    </row>
    <row r="2551" spans="9:16" ht="12.75">
      <c r="I2551" s="123" t="s">
        <v>993</v>
      </c>
      <c r="J2551" s="162"/>
      <c r="K2551" s="148">
        <v>6.95</v>
      </c>
      <c r="L2551" s="149">
        <v>25</v>
      </c>
      <c r="M2551" s="912">
        <f t="shared" si="199"/>
        <v>27.800000000000004</v>
      </c>
      <c r="N2551" s="149" t="s">
        <v>1901</v>
      </c>
      <c r="O2551" s="88" t="s">
        <v>1945</v>
      </c>
      <c r="P2551" s="35"/>
    </row>
    <row r="2552" spans="9:16" ht="12.75">
      <c r="I2552" s="123" t="s">
        <v>99</v>
      </c>
      <c r="J2552" s="162"/>
      <c r="K2552" s="148">
        <v>5.99</v>
      </c>
      <c r="L2552" s="149">
        <v>23</v>
      </c>
      <c r="M2552" s="912">
        <f>K2552/L2552*100</f>
        <v>26.04347826086957</v>
      </c>
      <c r="N2552" s="149" t="s">
        <v>1262</v>
      </c>
      <c r="O2552" s="88" t="s">
        <v>2330</v>
      </c>
      <c r="P2552" s="35"/>
    </row>
    <row r="2553" spans="9:16" ht="12.75">
      <c r="I2553" s="830" t="s">
        <v>1294</v>
      </c>
      <c r="J2553" s="162"/>
      <c r="K2553" s="148">
        <v>16.9</v>
      </c>
      <c r="L2553" s="149">
        <v>27</v>
      </c>
      <c r="M2553" s="912">
        <f t="shared" si="199"/>
        <v>62.59259259259259</v>
      </c>
      <c r="N2553" s="124" t="s">
        <v>116</v>
      </c>
      <c r="O2553" s="88" t="s">
        <v>455</v>
      </c>
      <c r="P2553" s="35"/>
    </row>
    <row r="2554" spans="9:16" ht="12.75">
      <c r="I2554" s="830" t="s">
        <v>693</v>
      </c>
      <c r="J2554" s="162"/>
      <c r="K2554" s="148">
        <v>25.5</v>
      </c>
      <c r="L2554" s="149">
        <v>57</v>
      </c>
      <c r="M2554" s="912">
        <f t="shared" si="199"/>
        <v>44.73684210526316</v>
      </c>
      <c r="N2554" s="124" t="s">
        <v>115</v>
      </c>
      <c r="O2554" s="88" t="s">
        <v>455</v>
      </c>
      <c r="P2554" s="35"/>
    </row>
    <row r="2555" spans="9:16" ht="12.75">
      <c r="I2555" s="82"/>
      <c r="J2555" s="105"/>
      <c r="K2555" s="35"/>
      <c r="L2555" s="36"/>
      <c r="M2555" s="229"/>
      <c r="N2555" s="36"/>
      <c r="O2555" s="88"/>
      <c r="P2555" s="35"/>
    </row>
    <row r="2556" spans="13:15" ht="12.75">
      <c r="M2556" s="5"/>
      <c r="O2556" s="88"/>
    </row>
    <row r="2557" spans="9:15" ht="12.75">
      <c r="I2557" s="43" t="s">
        <v>77</v>
      </c>
      <c r="J2557" s="46"/>
      <c r="K2557" s="44">
        <v>3.99</v>
      </c>
      <c r="L2557" s="94" t="s">
        <v>1303</v>
      </c>
      <c r="M2557" s="32"/>
      <c r="N2557" s="33"/>
      <c r="O2557" s="88" t="s">
        <v>1035</v>
      </c>
    </row>
    <row r="2558" spans="9:15" ht="12.75">
      <c r="I2558" s="2" t="s">
        <v>2198</v>
      </c>
      <c r="J2558" s="66"/>
      <c r="K2558" s="32">
        <v>3.59</v>
      </c>
      <c r="L2558" s="94" t="s">
        <v>1303</v>
      </c>
      <c r="M2558" s="32"/>
      <c r="N2558" s="33"/>
      <c r="O2558" s="88" t="s">
        <v>1035</v>
      </c>
    </row>
    <row r="2559" spans="9:15" ht="12.75">
      <c r="I2559" s="43" t="s">
        <v>1302</v>
      </c>
      <c r="J2559" s="66"/>
      <c r="K2559" s="44">
        <v>3.99</v>
      </c>
      <c r="L2559" s="94" t="s">
        <v>1303</v>
      </c>
      <c r="M2559" s="32"/>
      <c r="N2559" s="33"/>
      <c r="O2559" s="88" t="s">
        <v>1439</v>
      </c>
    </row>
    <row r="2560" spans="9:15" ht="12.75">
      <c r="I2560" s="31"/>
      <c r="J2560" s="66"/>
      <c r="K2560" s="32"/>
      <c r="L2560" s="33"/>
      <c r="M2560" s="32"/>
      <c r="N2560" s="33"/>
      <c r="O2560" s="88"/>
    </row>
    <row r="2561" spans="9:15" ht="12.75">
      <c r="I2561" s="82" t="s">
        <v>1677</v>
      </c>
      <c r="J2561" s="105"/>
      <c r="K2561" s="35">
        <v>1.49</v>
      </c>
      <c r="L2561" s="36">
        <v>250</v>
      </c>
      <c r="M2561" s="35">
        <f>K2561/L2561*1000</f>
        <v>5.96</v>
      </c>
      <c r="N2561" s="85"/>
      <c r="O2561" s="88" t="s">
        <v>2750</v>
      </c>
    </row>
    <row r="2562" spans="9:15" ht="15">
      <c r="I2562" s="84"/>
      <c r="J2562" s="105"/>
      <c r="K2562" s="35"/>
      <c r="L2562" s="36"/>
      <c r="M2562" s="35"/>
      <c r="N2562" s="85"/>
      <c r="O2562" s="88"/>
    </row>
    <row r="2563" spans="9:15" ht="15">
      <c r="I2563" s="891" t="s">
        <v>21</v>
      </c>
      <c r="J2563" s="105"/>
      <c r="K2563" s="35"/>
      <c r="L2563" s="36"/>
      <c r="M2563" s="35"/>
      <c r="N2563" s="85"/>
      <c r="O2563" s="88"/>
    </row>
    <row r="2564" spans="9:15" ht="16.5">
      <c r="I2564" s="1202" t="s">
        <v>1525</v>
      </c>
      <c r="J2564" s="55"/>
      <c r="K2564" s="16"/>
      <c r="L2564" s="7"/>
      <c r="M2564" s="16"/>
      <c r="N2564" s="85"/>
      <c r="O2564" s="88"/>
    </row>
    <row r="2565" spans="2:15" ht="12.75">
      <c r="B2565" s="195">
        <v>5.8</v>
      </c>
      <c r="C2565" s="195">
        <v>68</v>
      </c>
      <c r="D2565" s="195">
        <v>8.1</v>
      </c>
      <c r="F2565" s="198">
        <v>1597</v>
      </c>
      <c r="G2565" s="195">
        <f aca="true" t="shared" si="200" ref="G2565:G2572">B2565/F2565*1000</f>
        <v>3.6318096430807763</v>
      </c>
      <c r="I2565" s="15" t="s">
        <v>2190</v>
      </c>
      <c r="J2565" s="55"/>
      <c r="K2565" s="16">
        <v>1.69</v>
      </c>
      <c r="L2565" s="7">
        <v>500</v>
      </c>
      <c r="M2565" s="16">
        <f aca="true" t="shared" si="201" ref="M2565:M2572">K2565/L2565*1000</f>
        <v>3.38</v>
      </c>
      <c r="O2565" s="24" t="s">
        <v>754</v>
      </c>
    </row>
    <row r="2566" spans="2:15" ht="12.75">
      <c r="B2566" s="195">
        <v>5.5</v>
      </c>
      <c r="C2566" s="195">
        <v>62.9</v>
      </c>
      <c r="D2566" s="195">
        <v>23.5</v>
      </c>
      <c r="F2566" s="198">
        <v>2070</v>
      </c>
      <c r="G2566" s="195">
        <f>B2566/F2566*1000</f>
        <v>2.6570048309178746</v>
      </c>
      <c r="I2566" s="56" t="s">
        <v>2079</v>
      </c>
      <c r="J2566" s="55"/>
      <c r="K2566" s="16">
        <v>1.59</v>
      </c>
      <c r="L2566" s="7">
        <v>500</v>
      </c>
      <c r="M2566" s="16">
        <f>K2566/L2566*1000</f>
        <v>3.18</v>
      </c>
      <c r="O2566" s="24" t="s">
        <v>173</v>
      </c>
    </row>
    <row r="2567" spans="2:15" ht="12.75">
      <c r="B2567" s="195">
        <v>4.8</v>
      </c>
      <c r="C2567" s="195">
        <v>59.2</v>
      </c>
      <c r="D2567" s="195">
        <v>28.1</v>
      </c>
      <c r="F2567" s="198">
        <v>2167</v>
      </c>
      <c r="G2567" s="195">
        <f>B2567/F2567*1000</f>
        <v>2.2150438394093213</v>
      </c>
      <c r="I2567" s="56" t="s">
        <v>1695</v>
      </c>
      <c r="J2567" s="55"/>
      <c r="K2567" s="16">
        <v>1.89</v>
      </c>
      <c r="L2567" s="7">
        <v>400</v>
      </c>
      <c r="M2567" s="16">
        <f>K2567/L2567*1000</f>
        <v>4.725</v>
      </c>
      <c r="O2567" s="24" t="s">
        <v>173</v>
      </c>
    </row>
    <row r="2568" spans="2:15" ht="12.75">
      <c r="B2568" s="195">
        <v>6.2</v>
      </c>
      <c r="C2568" s="195">
        <v>56</v>
      </c>
      <c r="D2568" s="195">
        <v>30</v>
      </c>
      <c r="F2568" s="198">
        <v>2207</v>
      </c>
      <c r="G2568" s="195">
        <f t="shared" si="200"/>
        <v>2.8092433167195288</v>
      </c>
      <c r="I2568" s="56" t="s">
        <v>1219</v>
      </c>
      <c r="J2568" s="55"/>
      <c r="K2568" s="16">
        <v>1.89</v>
      </c>
      <c r="L2568" s="7">
        <v>400</v>
      </c>
      <c r="M2568" s="16">
        <f t="shared" si="201"/>
        <v>4.725</v>
      </c>
      <c r="O2568" s="24" t="s">
        <v>173</v>
      </c>
    </row>
    <row r="2569" spans="2:15" s="859" customFormat="1" ht="11.25">
      <c r="B2569" s="853">
        <v>5</v>
      </c>
      <c r="C2569" s="853">
        <v>47</v>
      </c>
      <c r="D2569" s="853">
        <v>26</v>
      </c>
      <c r="E2569" s="854"/>
      <c r="F2569" s="855">
        <v>1860</v>
      </c>
      <c r="G2569" s="853">
        <f t="shared" si="200"/>
        <v>2.688172043010753</v>
      </c>
      <c r="H2569" s="853"/>
      <c r="I2569" s="1182" t="s">
        <v>2738</v>
      </c>
      <c r="J2569" s="1183"/>
      <c r="K2569" s="904">
        <v>1.49</v>
      </c>
      <c r="L2569" s="905">
        <v>500</v>
      </c>
      <c r="M2569" s="1054">
        <f t="shared" si="201"/>
        <v>2.98</v>
      </c>
      <c r="O2569" s="862" t="s">
        <v>2337</v>
      </c>
    </row>
    <row r="2570" spans="2:15" s="859" customFormat="1" ht="11.25">
      <c r="B2570" s="853">
        <v>4.1</v>
      </c>
      <c r="C2570" s="853">
        <v>59</v>
      </c>
      <c r="D2570" s="853">
        <v>17</v>
      </c>
      <c r="E2570" s="854"/>
      <c r="F2570" s="855">
        <v>1685</v>
      </c>
      <c r="G2570" s="853">
        <f t="shared" si="200"/>
        <v>2.433234421364985</v>
      </c>
      <c r="H2570" s="853"/>
      <c r="I2570" s="1184" t="s">
        <v>961</v>
      </c>
      <c r="J2570" s="1183"/>
      <c r="K2570" s="904">
        <v>1.29</v>
      </c>
      <c r="L2570" s="905">
        <v>400</v>
      </c>
      <c r="M2570" s="1054">
        <f t="shared" si="201"/>
        <v>3.225</v>
      </c>
      <c r="O2570" s="862" t="s">
        <v>2256</v>
      </c>
    </row>
    <row r="2571" spans="2:15" s="859" customFormat="1" ht="11.25">
      <c r="B2571" s="853">
        <v>5.1</v>
      </c>
      <c r="C2571" s="853">
        <v>50</v>
      </c>
      <c r="D2571" s="853">
        <v>22</v>
      </c>
      <c r="E2571" s="854"/>
      <c r="F2571" s="855">
        <v>1776</v>
      </c>
      <c r="G2571" s="853">
        <f t="shared" si="200"/>
        <v>2.8716216216216215</v>
      </c>
      <c r="H2571" s="853"/>
      <c r="I2571" s="1182" t="s">
        <v>2929</v>
      </c>
      <c r="J2571" s="1183"/>
      <c r="K2571" s="904">
        <v>1.29</v>
      </c>
      <c r="L2571" s="905">
        <v>400</v>
      </c>
      <c r="M2571" s="1054">
        <f t="shared" si="201"/>
        <v>3.225</v>
      </c>
      <c r="O2571" s="862" t="s">
        <v>2986</v>
      </c>
    </row>
    <row r="2572" spans="2:15" s="859" customFormat="1" ht="11.25">
      <c r="B2572" s="853">
        <v>6.8</v>
      </c>
      <c r="C2572" s="853">
        <v>51</v>
      </c>
      <c r="D2572" s="853">
        <v>22</v>
      </c>
      <c r="E2572" s="854"/>
      <c r="F2572" s="855">
        <v>1916</v>
      </c>
      <c r="G2572" s="853">
        <f t="shared" si="200"/>
        <v>3.5490605427974944</v>
      </c>
      <c r="H2572" s="853"/>
      <c r="I2572" s="1182" t="s">
        <v>460</v>
      </c>
      <c r="J2572" s="1183"/>
      <c r="K2572" s="904">
        <v>1.29</v>
      </c>
      <c r="L2572" s="905">
        <v>400</v>
      </c>
      <c r="M2572" s="1054">
        <f t="shared" si="201"/>
        <v>3.225</v>
      </c>
      <c r="O2572" s="862" t="s">
        <v>2986</v>
      </c>
    </row>
    <row r="2573" spans="2:15" s="859" customFormat="1" ht="11.25">
      <c r="B2573" s="853">
        <v>5.5</v>
      </c>
      <c r="C2573" s="853">
        <v>52</v>
      </c>
      <c r="D2573" s="853">
        <v>25</v>
      </c>
      <c r="E2573" s="854"/>
      <c r="F2573" s="855">
        <v>1828</v>
      </c>
      <c r="G2573" s="853">
        <f aca="true" t="shared" si="202" ref="G2573:G2581">B2573/F2573*1000</f>
        <v>3.0087527352297596</v>
      </c>
      <c r="H2573" s="853"/>
      <c r="I2573" s="1182" t="s">
        <v>2987</v>
      </c>
      <c r="J2573" s="1183"/>
      <c r="K2573" s="904">
        <v>1.29</v>
      </c>
      <c r="L2573" s="905">
        <v>400</v>
      </c>
      <c r="M2573" s="1054">
        <f aca="true" t="shared" si="203" ref="M2573:M2581">K2573/L2573*1000</f>
        <v>3.225</v>
      </c>
      <c r="O2573" s="862" t="s">
        <v>1738</v>
      </c>
    </row>
    <row r="2574" spans="2:15" s="859" customFormat="1" ht="12" thickBot="1">
      <c r="B2574" s="853">
        <v>5.5</v>
      </c>
      <c r="C2574" s="853">
        <v>63</v>
      </c>
      <c r="D2574" s="853">
        <v>12</v>
      </c>
      <c r="E2574" s="854"/>
      <c r="F2574" s="855">
        <v>1637</v>
      </c>
      <c r="G2574" s="853">
        <f t="shared" si="202"/>
        <v>3.3598045204642637</v>
      </c>
      <c r="H2574" s="853"/>
      <c r="I2574" s="1053" t="s">
        <v>469</v>
      </c>
      <c r="J2574" s="1183"/>
      <c r="K2574" s="904">
        <v>1.99</v>
      </c>
      <c r="L2574" s="905">
        <v>400</v>
      </c>
      <c r="M2574" s="904">
        <f t="shared" si="203"/>
        <v>4.9750000000000005</v>
      </c>
      <c r="O2574" s="862" t="s">
        <v>433</v>
      </c>
    </row>
    <row r="2575" spans="2:15" s="859" customFormat="1" ht="11.25">
      <c r="B2575" s="853">
        <v>6.3</v>
      </c>
      <c r="C2575" s="853">
        <v>63.4</v>
      </c>
      <c r="D2575" s="853">
        <v>12.8</v>
      </c>
      <c r="E2575" s="854"/>
      <c r="F2575" s="855">
        <v>1699</v>
      </c>
      <c r="G2575" s="853">
        <f t="shared" si="202"/>
        <v>3.7080635668040025</v>
      </c>
      <c r="H2575" s="853"/>
      <c r="I2575" s="1053" t="s">
        <v>274</v>
      </c>
      <c r="J2575" s="1183"/>
      <c r="K2575" s="904">
        <v>1.99</v>
      </c>
      <c r="L2575" s="1185">
        <v>400</v>
      </c>
      <c r="M2575" s="904">
        <f t="shared" si="203"/>
        <v>4.9750000000000005</v>
      </c>
      <c r="O2575" s="862" t="s">
        <v>433</v>
      </c>
    </row>
    <row r="2576" spans="2:15" s="859" customFormat="1" ht="12" thickBot="1">
      <c r="B2576" s="1186">
        <v>6.3</v>
      </c>
      <c r="C2576" s="1186">
        <v>61.4</v>
      </c>
      <c r="D2576" s="1186">
        <v>12.8</v>
      </c>
      <c r="E2576" s="1187"/>
      <c r="F2576" s="1188">
        <v>1699</v>
      </c>
      <c r="G2576" s="1186">
        <f t="shared" si="202"/>
        <v>3.7080635668040025</v>
      </c>
      <c r="H2576" s="1186"/>
      <c r="I2576" s="1181" t="s">
        <v>274</v>
      </c>
      <c r="J2576" s="885"/>
      <c r="K2576" s="886">
        <v>1.99</v>
      </c>
      <c r="L2576" s="1189">
        <v>450</v>
      </c>
      <c r="M2576" s="886">
        <f t="shared" si="203"/>
        <v>4.4222222222222225</v>
      </c>
      <c r="O2576" s="862" t="s">
        <v>1145</v>
      </c>
    </row>
    <row r="2577" spans="2:15" s="859" customFormat="1" ht="11.25">
      <c r="B2577" s="853">
        <v>4.6</v>
      </c>
      <c r="C2577" s="853">
        <v>68</v>
      </c>
      <c r="D2577" s="853">
        <v>25</v>
      </c>
      <c r="E2577" s="854"/>
      <c r="F2577" s="855">
        <v>2179</v>
      </c>
      <c r="G2577" s="1190">
        <f t="shared" si="202"/>
        <v>2.111060119320789</v>
      </c>
      <c r="H2577" s="1190"/>
      <c r="I2577" s="903" t="s">
        <v>2285</v>
      </c>
      <c r="J2577" s="1183"/>
      <c r="K2577" s="904">
        <v>1.59</v>
      </c>
      <c r="L2577" s="905">
        <v>500</v>
      </c>
      <c r="M2577" s="1054">
        <f t="shared" si="203"/>
        <v>3.18</v>
      </c>
      <c r="O2577" s="862" t="s">
        <v>3065</v>
      </c>
    </row>
    <row r="2578" spans="2:15" s="859" customFormat="1" ht="11.25">
      <c r="B2578" s="853">
        <v>4.4</v>
      </c>
      <c r="C2578" s="853">
        <v>54</v>
      </c>
      <c r="D2578" s="853">
        <v>33</v>
      </c>
      <c r="E2578" s="854"/>
      <c r="F2578" s="855">
        <v>2242</v>
      </c>
      <c r="G2578" s="1190">
        <f t="shared" si="202"/>
        <v>1.9625334522747548</v>
      </c>
      <c r="H2578" s="1190"/>
      <c r="I2578" s="903" t="s">
        <v>2055</v>
      </c>
      <c r="J2578" s="1183"/>
      <c r="K2578" s="860">
        <v>1.69</v>
      </c>
      <c r="L2578" s="905">
        <v>300</v>
      </c>
      <c r="M2578" s="904">
        <f t="shared" si="203"/>
        <v>5.633333333333333</v>
      </c>
      <c r="O2578" s="862" t="s">
        <v>3065</v>
      </c>
    </row>
    <row r="2579" spans="2:15" s="859" customFormat="1" ht="11.25">
      <c r="B2579" s="853">
        <v>5.6</v>
      </c>
      <c r="C2579" s="853">
        <v>64.4</v>
      </c>
      <c r="D2579" s="853">
        <v>9</v>
      </c>
      <c r="E2579" s="854"/>
      <c r="F2579" s="855">
        <v>1569</v>
      </c>
      <c r="G2579" s="853">
        <f t="shared" si="202"/>
        <v>3.5691523263224982</v>
      </c>
      <c r="H2579" s="853"/>
      <c r="I2579" s="1191" t="s">
        <v>325</v>
      </c>
      <c r="J2579" s="1192"/>
      <c r="K2579" s="1193">
        <v>1.29</v>
      </c>
      <c r="L2579" s="1194">
        <v>500</v>
      </c>
      <c r="M2579" s="1193">
        <f t="shared" si="203"/>
        <v>2.58</v>
      </c>
      <c r="O2579" s="862" t="s">
        <v>2670</v>
      </c>
    </row>
    <row r="2580" spans="2:15" s="859" customFormat="1" ht="11.25">
      <c r="B2580" s="853">
        <v>5.5</v>
      </c>
      <c r="C2580" s="853">
        <v>64.4</v>
      </c>
      <c r="D2580" s="853">
        <v>9</v>
      </c>
      <c r="E2580" s="854"/>
      <c r="F2580" s="855">
        <v>1569</v>
      </c>
      <c r="G2580" s="853">
        <f t="shared" si="202"/>
        <v>3.5054174633524537</v>
      </c>
      <c r="H2580" s="853"/>
      <c r="I2580" s="1053" t="s">
        <v>655</v>
      </c>
      <c r="J2580" s="1183"/>
      <c r="K2580" s="904">
        <v>1.59</v>
      </c>
      <c r="L2580" s="905">
        <v>500</v>
      </c>
      <c r="M2580" s="904">
        <f t="shared" si="203"/>
        <v>3.18</v>
      </c>
      <c r="O2580" s="862" t="s">
        <v>1868</v>
      </c>
    </row>
    <row r="2581" spans="2:15" s="859" customFormat="1" ht="11.25">
      <c r="B2581" s="853">
        <v>5.5</v>
      </c>
      <c r="C2581" s="853">
        <v>64.4</v>
      </c>
      <c r="D2581" s="853">
        <v>9</v>
      </c>
      <c r="E2581" s="854"/>
      <c r="F2581" s="855">
        <v>1569</v>
      </c>
      <c r="G2581" s="853">
        <f t="shared" si="202"/>
        <v>3.5054174633524537</v>
      </c>
      <c r="H2581" s="853"/>
      <c r="I2581" s="1195" t="s">
        <v>325</v>
      </c>
      <c r="J2581" s="1196"/>
      <c r="K2581" s="1197">
        <v>1.49</v>
      </c>
      <c r="L2581" s="1198">
        <v>500</v>
      </c>
      <c r="M2581" s="1197">
        <f t="shared" si="203"/>
        <v>2.98</v>
      </c>
      <c r="O2581" s="862" t="s">
        <v>2131</v>
      </c>
    </row>
    <row r="2582" spans="2:15" s="859" customFormat="1" ht="11.25">
      <c r="B2582" s="853"/>
      <c r="C2582" s="853"/>
      <c r="D2582" s="853"/>
      <c r="E2582" s="854"/>
      <c r="F2582" s="855"/>
      <c r="G2582" s="853"/>
      <c r="H2582" s="853"/>
      <c r="I2582" s="1199" t="s">
        <v>2056</v>
      </c>
      <c r="J2582" s="1183"/>
      <c r="K2582" s="1200" t="s">
        <v>3035</v>
      </c>
      <c r="L2582" s="1200" t="s">
        <v>3035</v>
      </c>
      <c r="M2582" s="1200" t="s">
        <v>3035</v>
      </c>
      <c r="N2582" s="1201"/>
      <c r="O2582" s="862" t="s">
        <v>3106</v>
      </c>
    </row>
    <row r="2583" spans="2:15" s="859" customFormat="1" ht="11.25">
      <c r="B2583" s="853"/>
      <c r="C2583" s="853"/>
      <c r="D2583" s="853"/>
      <c r="E2583" s="854"/>
      <c r="F2583" s="855"/>
      <c r="G2583" s="853"/>
      <c r="H2583" s="853"/>
      <c r="I2583" s="1053" t="s">
        <v>1575</v>
      </c>
      <c r="J2583" s="1183"/>
      <c r="K2583" s="904">
        <v>2.19</v>
      </c>
      <c r="L2583" s="905">
        <v>400</v>
      </c>
      <c r="M2583" s="904">
        <f>K2583/L2583*1000</f>
        <v>5.475</v>
      </c>
      <c r="N2583" s="1201"/>
      <c r="O2583" s="862" t="s">
        <v>10</v>
      </c>
    </row>
    <row r="2584" spans="2:15" s="859" customFormat="1" ht="11.25">
      <c r="B2584" s="853"/>
      <c r="C2584" s="853"/>
      <c r="D2584" s="853"/>
      <c r="E2584" s="854"/>
      <c r="F2584" s="855"/>
      <c r="G2584" s="853"/>
      <c r="H2584" s="853"/>
      <c r="I2584" s="1191" t="s">
        <v>189</v>
      </c>
      <c r="J2584" s="1192"/>
      <c r="K2584" s="1193">
        <v>1.99</v>
      </c>
      <c r="L2584" s="1194">
        <v>400</v>
      </c>
      <c r="M2584" s="1193">
        <f>K2584/L2584*1000</f>
        <v>4.9750000000000005</v>
      </c>
      <c r="N2584" s="1201"/>
      <c r="O2584" s="862" t="s">
        <v>2575</v>
      </c>
    </row>
    <row r="2585" spans="2:15" s="859" customFormat="1" ht="11.25">
      <c r="B2585" s="853">
        <v>4.1</v>
      </c>
      <c r="C2585" s="853">
        <v>30.5</v>
      </c>
      <c r="D2585" s="853">
        <v>14.8</v>
      </c>
      <c r="E2585" s="854"/>
      <c r="F2585" s="855">
        <v>1136</v>
      </c>
      <c r="G2585" s="853">
        <f>B2585/F2585*1000</f>
        <v>3.6091549295774645</v>
      </c>
      <c r="H2585" s="853"/>
      <c r="I2585" s="1053" t="s">
        <v>2288</v>
      </c>
      <c r="J2585" s="1183"/>
      <c r="K2585" s="904">
        <v>3.99</v>
      </c>
      <c r="L2585" s="905">
        <v>750</v>
      </c>
      <c r="M2585" s="904">
        <f>K2585/L2585*1000</f>
        <v>5.32</v>
      </c>
      <c r="N2585" s="1201"/>
      <c r="O2585" s="862" t="s">
        <v>2353</v>
      </c>
    </row>
    <row r="2586" spans="9:15" ht="12.75">
      <c r="I2586" s="97" t="s">
        <v>1929</v>
      </c>
      <c r="J2586" s="61"/>
      <c r="K2586" s="41">
        <v>3.99</v>
      </c>
      <c r="L2586" s="42">
        <v>280</v>
      </c>
      <c r="M2586" s="41">
        <f>K2586/L2586*1000</f>
        <v>14.25</v>
      </c>
      <c r="N2586" s="85"/>
      <c r="O2586" s="88" t="s">
        <v>1646</v>
      </c>
    </row>
    <row r="2587" spans="9:13" ht="12.75">
      <c r="I2587" s="6"/>
      <c r="J2587" s="55"/>
      <c r="K2587" s="16"/>
      <c r="L2587" s="7"/>
      <c r="M2587" s="16"/>
    </row>
    <row r="2588" spans="9:13" ht="12.75">
      <c r="I2588" s="6"/>
      <c r="J2588" s="55"/>
      <c r="K2588" s="16"/>
      <c r="L2588" s="7"/>
      <c r="M2588" s="16"/>
    </row>
    <row r="2589" spans="9:13" ht="15">
      <c r="I2589" s="87"/>
      <c r="J2589" s="55"/>
      <c r="K2589" s="16"/>
      <c r="L2589" s="7"/>
      <c r="M2589" s="16"/>
    </row>
    <row r="2590" spans="9:14" ht="15.75" customHeight="1">
      <c r="I2590" s="261"/>
      <c r="J2590" s="55"/>
      <c r="K2590" s="16"/>
      <c r="L2590" s="7"/>
      <c r="M2590" s="262" t="s">
        <v>533</v>
      </c>
      <c r="N2590" s="74"/>
    </row>
    <row r="2591" spans="6:13" ht="15.75">
      <c r="F2591" s="1311" t="s">
        <v>3077</v>
      </c>
      <c r="I2591" s="178" t="s">
        <v>617</v>
      </c>
      <c r="J2591" s="55"/>
      <c r="K2591" s="16"/>
      <c r="L2591" s="51" t="s">
        <v>2737</v>
      </c>
      <c r="M2591" s="16"/>
    </row>
    <row r="2592" spans="2:15" s="391" customFormat="1" ht="12.75">
      <c r="B2592" s="319"/>
      <c r="C2592" s="319"/>
      <c r="D2592" s="319"/>
      <c r="E2592" s="735"/>
      <c r="F2592" s="1312"/>
      <c r="G2592" s="393"/>
      <c r="H2592" s="393"/>
      <c r="I2592" s="86" t="s">
        <v>1311</v>
      </c>
      <c r="J2592" s="439"/>
      <c r="K2592" s="400">
        <v>2.2</v>
      </c>
      <c r="L2592" s="399">
        <v>120</v>
      </c>
      <c r="M2592" s="400">
        <f>K2592/L2592*1000</f>
        <v>18.333333333333332</v>
      </c>
      <c r="N2592" s="440" t="s">
        <v>2500</v>
      </c>
      <c r="O2592" s="392" t="s">
        <v>1930</v>
      </c>
    </row>
    <row r="2593" spans="2:15" s="391" customFormat="1" ht="12.75">
      <c r="B2593" s="319"/>
      <c r="C2593" s="319"/>
      <c r="D2593" s="319"/>
      <c r="E2593" s="735"/>
      <c r="F2593" s="1312"/>
      <c r="G2593" s="393"/>
      <c r="H2593" s="393"/>
      <c r="I2593" s="86" t="s">
        <v>2499</v>
      </c>
      <c r="J2593" s="439"/>
      <c r="K2593" s="400"/>
      <c r="L2593" s="399">
        <v>1000</v>
      </c>
      <c r="M2593" s="400">
        <v>10.5</v>
      </c>
      <c r="N2593" s="440" t="s">
        <v>2500</v>
      </c>
      <c r="O2593" s="392" t="s">
        <v>1930</v>
      </c>
    </row>
    <row r="2594" spans="2:15" s="391" customFormat="1" ht="14.25">
      <c r="B2594" s="319"/>
      <c r="C2594" s="319"/>
      <c r="D2594" s="319"/>
      <c r="E2594" s="735"/>
      <c r="F2594" s="1312"/>
      <c r="G2594" s="393"/>
      <c r="H2594" s="393"/>
      <c r="I2594" s="40" t="s">
        <v>2912</v>
      </c>
      <c r="J2594" s="439"/>
      <c r="K2594" s="321">
        <v>1.59</v>
      </c>
      <c r="L2594" s="322">
        <v>125</v>
      </c>
      <c r="M2594" s="321">
        <f>K2594/L2594*1000</f>
        <v>12.72</v>
      </c>
      <c r="N2594" s="440"/>
      <c r="O2594" s="392" t="s">
        <v>1930</v>
      </c>
    </row>
    <row r="2595" spans="2:15" s="391" customFormat="1" ht="12.75">
      <c r="B2595" s="319">
        <v>1.4</v>
      </c>
      <c r="C2595" s="319">
        <v>31.5</v>
      </c>
      <c r="D2595" s="319">
        <v>7.5</v>
      </c>
      <c r="E2595" s="735"/>
      <c r="F2595" s="1312">
        <v>675</v>
      </c>
      <c r="G2595" s="393">
        <f>B2595/F2595*1000</f>
        <v>2.074074074074074</v>
      </c>
      <c r="H2595" s="393"/>
      <c r="I2595" s="313" t="s">
        <v>243</v>
      </c>
      <c r="J2595" s="404"/>
      <c r="K2595" s="314">
        <v>3.39</v>
      </c>
      <c r="L2595" s="313">
        <v>500</v>
      </c>
      <c r="M2595" s="314">
        <f>K2595/L2595*1000</f>
        <v>6.78</v>
      </c>
      <c r="O2595" s="392" t="s">
        <v>1762</v>
      </c>
    </row>
    <row r="2596" spans="2:15" s="391" customFormat="1" ht="12.75">
      <c r="B2596" s="319">
        <v>1.5</v>
      </c>
      <c r="C2596" s="319">
        <v>24.1</v>
      </c>
      <c r="D2596" s="319">
        <v>7.2</v>
      </c>
      <c r="E2596" s="735"/>
      <c r="F2596" s="1312">
        <v>707</v>
      </c>
      <c r="G2596" s="393">
        <f>B2596/F2596*1000</f>
        <v>2.1216407355021216</v>
      </c>
      <c r="H2596" s="393"/>
      <c r="I2596" s="322" t="s">
        <v>614</v>
      </c>
      <c r="J2596" s="320"/>
      <c r="K2596" s="321">
        <v>3.39</v>
      </c>
      <c r="L2596" s="322">
        <v>500</v>
      </c>
      <c r="M2596" s="321">
        <f aca="true" t="shared" si="204" ref="M2596:M2601">K2596/L2596*1000</f>
        <v>6.78</v>
      </c>
      <c r="O2596" s="392" t="s">
        <v>1930</v>
      </c>
    </row>
    <row r="2597" spans="2:15" s="391" customFormat="1" ht="12.75">
      <c r="B2597" s="319"/>
      <c r="C2597" s="319"/>
      <c r="D2597" s="319"/>
      <c r="E2597" s="735"/>
      <c r="F2597" s="1312"/>
      <c r="G2597" s="393"/>
      <c r="H2597" s="393"/>
      <c r="I2597" s="313" t="s">
        <v>653</v>
      </c>
      <c r="J2597" s="404"/>
      <c r="K2597" s="314">
        <v>4.29</v>
      </c>
      <c r="L2597" s="313">
        <v>750</v>
      </c>
      <c r="M2597" s="314">
        <f t="shared" si="204"/>
        <v>5.720000000000001</v>
      </c>
      <c r="N2597" s="315"/>
      <c r="O2597" s="392" t="s">
        <v>12</v>
      </c>
    </row>
    <row r="2598" spans="2:15" s="391" customFormat="1" ht="12.75">
      <c r="B2598" s="319">
        <v>1.4</v>
      </c>
      <c r="C2598" s="319">
        <v>7.8</v>
      </c>
      <c r="D2598" s="319">
        <v>6.1</v>
      </c>
      <c r="E2598" s="735"/>
      <c r="F2598" s="1312">
        <v>388</v>
      </c>
      <c r="G2598" s="393">
        <f>B2598/F2598*1000</f>
        <v>3.608247422680412</v>
      </c>
      <c r="H2598" s="393"/>
      <c r="I2598" s="313" t="s">
        <v>2210</v>
      </c>
      <c r="J2598" s="404"/>
      <c r="K2598" s="314">
        <v>4.29</v>
      </c>
      <c r="L2598" s="313">
        <v>750</v>
      </c>
      <c r="M2598" s="314">
        <f t="shared" si="204"/>
        <v>5.720000000000001</v>
      </c>
      <c r="N2598" s="315"/>
      <c r="O2598" s="392" t="s">
        <v>12</v>
      </c>
    </row>
    <row r="2599" spans="2:15" s="391" customFormat="1" ht="12.75">
      <c r="B2599" s="319">
        <v>1.7</v>
      </c>
      <c r="C2599" s="319">
        <v>8.5</v>
      </c>
      <c r="D2599" s="319">
        <v>6.1</v>
      </c>
      <c r="E2599" s="735"/>
      <c r="F2599" s="1312">
        <v>392</v>
      </c>
      <c r="G2599" s="393">
        <f>B2599/F2599*1000</f>
        <v>4.336734693877551</v>
      </c>
      <c r="H2599" s="393"/>
      <c r="I2599" s="313" t="s">
        <v>2035</v>
      </c>
      <c r="J2599" s="404"/>
      <c r="K2599" s="314">
        <v>4.29</v>
      </c>
      <c r="L2599" s="313">
        <v>750</v>
      </c>
      <c r="M2599" s="314">
        <f t="shared" si="204"/>
        <v>5.720000000000001</v>
      </c>
      <c r="N2599" s="315"/>
      <c r="O2599" s="392" t="s">
        <v>12</v>
      </c>
    </row>
    <row r="2600" spans="2:15" s="391" customFormat="1" ht="12.75">
      <c r="B2600" s="319">
        <v>1.4</v>
      </c>
      <c r="C2600" s="319">
        <v>7.8</v>
      </c>
      <c r="D2600" s="319">
        <v>6.1</v>
      </c>
      <c r="E2600" s="735"/>
      <c r="F2600" s="1312">
        <v>388</v>
      </c>
      <c r="G2600" s="393">
        <f>B2600/F2600*1000</f>
        <v>3.608247422680412</v>
      </c>
      <c r="H2600" s="393"/>
      <c r="I2600" s="432" t="s">
        <v>1739</v>
      </c>
      <c r="J2600" s="404"/>
      <c r="K2600" s="314">
        <v>3.99</v>
      </c>
      <c r="L2600" s="313">
        <v>750</v>
      </c>
      <c r="M2600" s="314">
        <f t="shared" si="204"/>
        <v>5.32</v>
      </c>
      <c r="N2600" s="315" t="s">
        <v>3107</v>
      </c>
      <c r="O2600" s="392" t="s">
        <v>3106</v>
      </c>
    </row>
    <row r="2601" spans="2:15" s="391" customFormat="1" ht="12.75">
      <c r="B2601" s="319">
        <v>1.4</v>
      </c>
      <c r="C2601" s="319">
        <v>7.8</v>
      </c>
      <c r="D2601" s="319">
        <v>6.1</v>
      </c>
      <c r="E2601" s="735"/>
      <c r="F2601" s="1312">
        <v>388</v>
      </c>
      <c r="G2601" s="393">
        <f>B2601/F2601*1000</f>
        <v>3.608247422680412</v>
      </c>
      <c r="H2601" s="393"/>
      <c r="I2601" s="313" t="s">
        <v>2375</v>
      </c>
      <c r="J2601" s="404"/>
      <c r="K2601" s="314">
        <v>4.29</v>
      </c>
      <c r="L2601" s="313">
        <v>750</v>
      </c>
      <c r="M2601" s="314">
        <f t="shared" si="204"/>
        <v>5.720000000000001</v>
      </c>
      <c r="N2601" s="315"/>
      <c r="O2601" s="392" t="s">
        <v>752</v>
      </c>
    </row>
    <row r="2602" spans="2:15" s="391" customFormat="1" ht="12.75">
      <c r="B2602" s="398" t="s">
        <v>2833</v>
      </c>
      <c r="C2602" s="393">
        <v>21.8</v>
      </c>
      <c r="D2602" s="393">
        <v>11.6</v>
      </c>
      <c r="E2602" s="746"/>
      <c r="F2602" s="1313">
        <f>212*4.18</f>
        <v>886.16</v>
      </c>
      <c r="G2602" s="393"/>
      <c r="H2602" s="393"/>
      <c r="I2602" s="399" t="s">
        <v>111</v>
      </c>
      <c r="J2602" s="379"/>
      <c r="K2602" s="400">
        <v>3.99</v>
      </c>
      <c r="L2602" s="395">
        <v>500</v>
      </c>
      <c r="M2602" s="400">
        <f aca="true" t="shared" si="205" ref="M2602:M2615">K2602/L2602*1000</f>
        <v>7.980000000000001</v>
      </c>
      <c r="O2602" s="392" t="s">
        <v>752</v>
      </c>
    </row>
    <row r="2603" spans="2:15" s="391" customFormat="1" ht="12.75">
      <c r="B2603" s="398">
        <v>1.2</v>
      </c>
      <c r="C2603" s="393">
        <v>17.3</v>
      </c>
      <c r="D2603" s="393">
        <v>12.8</v>
      </c>
      <c r="E2603" s="746"/>
      <c r="F2603" s="1312">
        <v>787</v>
      </c>
      <c r="G2603" s="401">
        <f aca="true" t="shared" si="206" ref="G2603:G2608">B2603/F2603*1000</f>
        <v>1.5247776365946633</v>
      </c>
      <c r="H2603" s="401"/>
      <c r="I2603" s="399" t="s">
        <v>53</v>
      </c>
      <c r="J2603" s="379"/>
      <c r="K2603" s="400">
        <v>3.49</v>
      </c>
      <c r="L2603" s="395">
        <v>600</v>
      </c>
      <c r="M2603" s="400">
        <f t="shared" si="205"/>
        <v>5.816666666666667</v>
      </c>
      <c r="O2603" s="392" t="s">
        <v>752</v>
      </c>
    </row>
    <row r="2604" spans="2:20" s="391" customFormat="1" ht="12.75">
      <c r="B2604" s="393">
        <v>1.2</v>
      </c>
      <c r="C2604" s="393">
        <v>17.3</v>
      </c>
      <c r="D2604" s="402" t="s">
        <v>1797</v>
      </c>
      <c r="E2604" s="750"/>
      <c r="F2604" s="1312">
        <v>787</v>
      </c>
      <c r="G2604" s="401">
        <f t="shared" si="206"/>
        <v>1.5247776365946633</v>
      </c>
      <c r="H2604" s="401"/>
      <c r="I2604" s="399" t="s">
        <v>1356</v>
      </c>
      <c r="J2604" s="403"/>
      <c r="K2604" s="400">
        <v>3.49</v>
      </c>
      <c r="L2604" s="395">
        <v>600</v>
      </c>
      <c r="M2604" s="400">
        <f t="shared" si="205"/>
        <v>5.816666666666667</v>
      </c>
      <c r="O2604" s="392" t="s">
        <v>1244</v>
      </c>
      <c r="Q2604" s="391" t="s">
        <v>656</v>
      </c>
      <c r="R2604" s="327" t="s">
        <v>937</v>
      </c>
      <c r="S2604" s="393">
        <v>3.3</v>
      </c>
      <c r="T2604" s="393">
        <v>27.9</v>
      </c>
    </row>
    <row r="2605" spans="2:20" s="391" customFormat="1" ht="12.75">
      <c r="B2605" s="393">
        <v>1.21</v>
      </c>
      <c r="C2605" s="393">
        <v>12</v>
      </c>
      <c r="D2605" s="393">
        <v>5.7</v>
      </c>
      <c r="E2605" s="746"/>
      <c r="F2605" s="1312">
        <v>435</v>
      </c>
      <c r="G2605" s="393">
        <f t="shared" si="206"/>
        <v>2.781609195402299</v>
      </c>
      <c r="H2605" s="393"/>
      <c r="I2605" s="378" t="s">
        <v>867</v>
      </c>
      <c r="J2605" s="403"/>
      <c r="K2605" s="348">
        <v>2.99</v>
      </c>
      <c r="L2605" s="349">
        <v>1000</v>
      </c>
      <c r="M2605" s="348">
        <f t="shared" si="205"/>
        <v>2.99</v>
      </c>
      <c r="O2605" s="392" t="s">
        <v>2510</v>
      </c>
      <c r="R2605" s="327"/>
      <c r="S2605" s="393"/>
      <c r="T2605" s="393"/>
    </row>
    <row r="2606" spans="2:20" s="391" customFormat="1" ht="12.75">
      <c r="B2606" s="393">
        <v>1.3</v>
      </c>
      <c r="C2606" s="393">
        <v>21.5</v>
      </c>
      <c r="D2606" s="393">
        <v>10.8</v>
      </c>
      <c r="E2606" s="746"/>
      <c r="F2606" s="1312">
        <v>788</v>
      </c>
      <c r="G2606" s="649">
        <f t="shared" si="206"/>
        <v>1.649746192893401</v>
      </c>
      <c r="H2606" s="649"/>
      <c r="I2606" s="322" t="s">
        <v>2333</v>
      </c>
      <c r="J2606" s="320"/>
      <c r="K2606" s="321">
        <v>2.49</v>
      </c>
      <c r="L2606" s="447">
        <v>1000</v>
      </c>
      <c r="M2606" s="321">
        <f>K2606/L2606*1000</f>
        <v>2.49</v>
      </c>
      <c r="O2606" s="392" t="s">
        <v>233</v>
      </c>
      <c r="R2606" s="327"/>
      <c r="S2606" s="393"/>
      <c r="T2606" s="393"/>
    </row>
    <row r="2607" spans="2:20" s="391" customFormat="1" ht="12.75">
      <c r="B2607" s="393">
        <v>0.7</v>
      </c>
      <c r="C2607" s="393">
        <v>10.8</v>
      </c>
      <c r="D2607" s="393">
        <v>5.4</v>
      </c>
      <c r="E2607" s="746"/>
      <c r="F2607" s="1312">
        <v>394</v>
      </c>
      <c r="G2607" s="649">
        <f t="shared" si="206"/>
        <v>1.7766497461928932</v>
      </c>
      <c r="H2607" s="649"/>
      <c r="I2607" s="433" t="s">
        <v>258</v>
      </c>
      <c r="J2607" s="434"/>
      <c r="K2607" s="408">
        <v>2.49</v>
      </c>
      <c r="L2607" s="409">
        <v>1000</v>
      </c>
      <c r="M2607" s="408">
        <f t="shared" si="205"/>
        <v>2.49</v>
      </c>
      <c r="O2607" s="392" t="s">
        <v>12</v>
      </c>
      <c r="R2607" s="327"/>
      <c r="S2607" s="393"/>
      <c r="T2607" s="393"/>
    </row>
    <row r="2608" spans="2:20" s="391" customFormat="1" ht="12.75">
      <c r="B2608" s="393">
        <v>1.3</v>
      </c>
      <c r="C2608" s="393">
        <v>21.5</v>
      </c>
      <c r="D2608" s="393">
        <v>10.8</v>
      </c>
      <c r="E2608" s="746"/>
      <c r="F2608" s="1313">
        <v>788</v>
      </c>
      <c r="G2608" s="401">
        <f t="shared" si="206"/>
        <v>1.649746192893401</v>
      </c>
      <c r="H2608" s="401"/>
      <c r="I2608" s="449" t="s">
        <v>2381</v>
      </c>
      <c r="J2608" s="450"/>
      <c r="K2608" s="451">
        <v>2.49</v>
      </c>
      <c r="L2608" s="452">
        <v>1000</v>
      </c>
      <c r="M2608" s="451">
        <f t="shared" si="205"/>
        <v>2.49</v>
      </c>
      <c r="N2608" s="447"/>
      <c r="O2608" s="448" t="s">
        <v>84</v>
      </c>
      <c r="R2608" s="327"/>
      <c r="S2608" s="393"/>
      <c r="T2608" s="393"/>
    </row>
    <row r="2609" spans="2:20" s="391" customFormat="1" ht="12.75">
      <c r="B2609" s="393"/>
      <c r="C2609" s="393"/>
      <c r="D2609" s="393"/>
      <c r="E2609" s="746"/>
      <c r="F2609" s="1314"/>
      <c r="G2609" s="401"/>
      <c r="H2609" s="401"/>
      <c r="I2609" s="405" t="s">
        <v>1095</v>
      </c>
      <c r="J2609" s="406"/>
      <c r="K2609" s="353">
        <v>1.59</v>
      </c>
      <c r="L2609" s="354">
        <v>450</v>
      </c>
      <c r="M2609" s="353">
        <f t="shared" si="205"/>
        <v>3.5333333333333337</v>
      </c>
      <c r="O2609" s="392" t="s">
        <v>2510</v>
      </c>
      <c r="Q2609" s="391" t="s">
        <v>656</v>
      </c>
      <c r="R2609" s="327" t="s">
        <v>937</v>
      </c>
      <c r="S2609" s="393">
        <v>3.3</v>
      </c>
      <c r="T2609" s="393">
        <v>27.9</v>
      </c>
    </row>
    <row r="2610" spans="2:20" s="391" customFormat="1" ht="12.75">
      <c r="B2610" s="393">
        <v>2.2</v>
      </c>
      <c r="C2610" s="393">
        <v>27.4</v>
      </c>
      <c r="D2610" s="393">
        <v>20.8</v>
      </c>
      <c r="E2610" s="746"/>
      <c r="F2610" s="1313">
        <v>1272</v>
      </c>
      <c r="G2610" s="401">
        <f aca="true" t="shared" si="207" ref="G2610:G2623">B2610/F2610*1000</f>
        <v>1.729559748427673</v>
      </c>
      <c r="H2610" s="1318"/>
      <c r="I2610" s="435" t="s">
        <v>1146</v>
      </c>
      <c r="J2610" s="436"/>
      <c r="K2610" s="437">
        <v>1.99</v>
      </c>
      <c r="L2610" s="438">
        <v>360</v>
      </c>
      <c r="M2610" s="437">
        <f t="shared" si="205"/>
        <v>5.527777777777779</v>
      </c>
      <c r="O2610" s="392" t="s">
        <v>1352</v>
      </c>
      <c r="Q2610" s="391" t="s">
        <v>656</v>
      </c>
      <c r="R2610" s="327" t="s">
        <v>937</v>
      </c>
      <c r="S2610" s="393">
        <v>3.3</v>
      </c>
      <c r="T2610" s="393">
        <v>27.9</v>
      </c>
    </row>
    <row r="2611" spans="2:15" s="391" customFormat="1" ht="12.75">
      <c r="B2611" s="393">
        <v>1.4</v>
      </c>
      <c r="C2611" s="393">
        <v>7.8</v>
      </c>
      <c r="D2611" s="393">
        <v>6.1</v>
      </c>
      <c r="E2611" s="746"/>
      <c r="F2611" s="1314">
        <v>388</v>
      </c>
      <c r="G2611" s="393">
        <f t="shared" si="207"/>
        <v>3.608247422680412</v>
      </c>
      <c r="H2611" s="1319"/>
      <c r="I2611" s="407" t="s">
        <v>120</v>
      </c>
      <c r="J2611" s="379"/>
      <c r="K2611" s="348">
        <v>3.99</v>
      </c>
      <c r="L2611" s="349">
        <v>750</v>
      </c>
      <c r="M2611" s="348">
        <f t="shared" si="205"/>
        <v>5.32</v>
      </c>
      <c r="N2611" s="335"/>
      <c r="O2611" s="392" t="s">
        <v>1320</v>
      </c>
    </row>
    <row r="2612" spans="2:15" s="391" customFormat="1" ht="12.75">
      <c r="B2612" s="393">
        <v>3.07</v>
      </c>
      <c r="C2612" s="393">
        <v>17.7</v>
      </c>
      <c r="D2612" s="393">
        <v>10.98</v>
      </c>
      <c r="E2612" s="746"/>
      <c r="F2612" s="1314">
        <v>750</v>
      </c>
      <c r="G2612" s="393">
        <f t="shared" si="207"/>
        <v>4.093333333333334</v>
      </c>
      <c r="H2612" s="1319"/>
      <c r="I2612" s="378" t="s">
        <v>1044</v>
      </c>
      <c r="J2612" s="379"/>
      <c r="K2612" s="348">
        <v>5.29</v>
      </c>
      <c r="L2612" s="349">
        <v>1000</v>
      </c>
      <c r="M2612" s="348">
        <f t="shared" si="205"/>
        <v>5.29</v>
      </c>
      <c r="N2612" s="349" t="s">
        <v>947</v>
      </c>
      <c r="O2612" s="392" t="s">
        <v>1320</v>
      </c>
    </row>
    <row r="2613" spans="2:15" ht="14.25">
      <c r="B2613" s="195">
        <v>1.4</v>
      </c>
      <c r="C2613" s="195">
        <v>15</v>
      </c>
      <c r="D2613" s="195">
        <v>5.6</v>
      </c>
      <c r="F2613" s="1315">
        <v>493</v>
      </c>
      <c r="G2613" s="195">
        <f>B2613/F2613*1000</f>
        <v>2.839756592292089</v>
      </c>
      <c r="H2613" s="1320">
        <f>M2613/F2613*100000/2</f>
        <v>151.1156186612576</v>
      </c>
      <c r="I2613" s="588" t="s">
        <v>808</v>
      </c>
      <c r="J2613" s="96"/>
      <c r="K2613" s="29">
        <v>1.49</v>
      </c>
      <c r="L2613" s="30">
        <v>1000</v>
      </c>
      <c r="M2613" s="29">
        <f>K2613/L2613*1000</f>
        <v>1.49</v>
      </c>
      <c r="O2613" s="24" t="s">
        <v>1199</v>
      </c>
    </row>
    <row r="2614" spans="2:15" ht="14.25">
      <c r="B2614" s="356">
        <v>1.4</v>
      </c>
      <c r="C2614" s="356">
        <v>14.2</v>
      </c>
      <c r="D2614" s="356">
        <v>5.7</v>
      </c>
      <c r="E2614" s="745"/>
      <c r="F2614" s="1316">
        <v>479</v>
      </c>
      <c r="G2614" s="356">
        <f t="shared" si="207"/>
        <v>2.9227557411273484</v>
      </c>
      <c r="H2614" s="1321"/>
      <c r="I2614" s="588" t="s">
        <v>808</v>
      </c>
      <c r="J2614" s="96"/>
      <c r="K2614" s="29">
        <v>1.49</v>
      </c>
      <c r="L2614" s="30">
        <v>1000</v>
      </c>
      <c r="M2614" s="29">
        <f t="shared" si="205"/>
        <v>1.49</v>
      </c>
      <c r="O2614" s="24" t="s">
        <v>1669</v>
      </c>
    </row>
    <row r="2615" spans="2:15" ht="14.25">
      <c r="B2615" s="1146">
        <v>1.6</v>
      </c>
      <c r="C2615" s="1146">
        <v>13</v>
      </c>
      <c r="D2615" s="1146">
        <v>7.1</v>
      </c>
      <c r="E2615" s="1145"/>
      <c r="F2615" s="1317">
        <v>530</v>
      </c>
      <c r="G2615" s="195">
        <f>B2615/F2615*1000</f>
        <v>3.018867924528302</v>
      </c>
      <c r="H2615" s="1320">
        <f>M2615/F2615*100000/2</f>
        <v>140.56603773584905</v>
      </c>
      <c r="I2615" s="588" t="s">
        <v>3048</v>
      </c>
      <c r="J2615" s="96" t="s">
        <v>569</v>
      </c>
      <c r="K2615" s="29">
        <v>1.49</v>
      </c>
      <c r="L2615" s="30">
        <v>1000</v>
      </c>
      <c r="M2615" s="29">
        <f t="shared" si="205"/>
        <v>1.49</v>
      </c>
      <c r="O2615" s="24" t="s">
        <v>2164</v>
      </c>
    </row>
    <row r="2616" spans="2:15" ht="14.25">
      <c r="B2616" s="1146">
        <v>1.6</v>
      </c>
      <c r="C2616" s="1146">
        <v>13</v>
      </c>
      <c r="D2616" s="1146">
        <v>7.1</v>
      </c>
      <c r="E2616" s="1145"/>
      <c r="F2616" s="1317">
        <v>528</v>
      </c>
      <c r="G2616" s="195">
        <f>B2616/F2616*1000</f>
        <v>3.0303030303030303</v>
      </c>
      <c r="H2616" s="1322"/>
      <c r="I2616" s="588" t="s">
        <v>3048</v>
      </c>
      <c r="J2616" s="96" t="s">
        <v>568</v>
      </c>
      <c r="K2616" s="29">
        <v>1.49</v>
      </c>
      <c r="L2616" s="30">
        <v>1000</v>
      </c>
      <c r="M2616" s="29">
        <f aca="true" t="shared" si="208" ref="M2616:M2622">K2616/L2616*1000</f>
        <v>1.49</v>
      </c>
      <c r="O2616" s="24" t="s">
        <v>458</v>
      </c>
    </row>
    <row r="2617" spans="2:15" ht="14.25">
      <c r="B2617" s="356">
        <v>1.8</v>
      </c>
      <c r="C2617" s="356">
        <v>12.9</v>
      </c>
      <c r="D2617" s="356">
        <v>7.2</v>
      </c>
      <c r="E2617" s="745"/>
      <c r="F2617" s="1316">
        <v>518</v>
      </c>
      <c r="G2617" s="356">
        <f t="shared" si="207"/>
        <v>3.474903474903475</v>
      </c>
      <c r="H2617" s="1321"/>
      <c r="I2617" s="588" t="s">
        <v>3048</v>
      </c>
      <c r="J2617" s="96"/>
      <c r="K2617" s="29">
        <v>1.49</v>
      </c>
      <c r="L2617" s="30">
        <v>1000</v>
      </c>
      <c r="M2617" s="29">
        <f t="shared" si="208"/>
        <v>1.49</v>
      </c>
      <c r="O2617" s="24" t="s">
        <v>1669</v>
      </c>
    </row>
    <row r="2618" spans="2:15" ht="14.25">
      <c r="B2618" s="195">
        <v>1.1</v>
      </c>
      <c r="C2618" s="195">
        <v>13.6</v>
      </c>
      <c r="D2618" s="195">
        <v>4.5</v>
      </c>
      <c r="F2618" s="1315">
        <v>418</v>
      </c>
      <c r="G2618" s="195">
        <f>B2618/F2618*1000</f>
        <v>2.6315789473684212</v>
      </c>
      <c r="H2618" s="1320">
        <f>M2618/F2618*100000/2</f>
        <v>178.22966507177034</v>
      </c>
      <c r="I2618" s="588" t="s">
        <v>1887</v>
      </c>
      <c r="J2618" s="96"/>
      <c r="K2618" s="29">
        <v>1.49</v>
      </c>
      <c r="L2618" s="30">
        <v>1000</v>
      </c>
      <c r="M2618" s="29">
        <f t="shared" si="208"/>
        <v>1.49</v>
      </c>
      <c r="O2618" s="24" t="s">
        <v>1669</v>
      </c>
    </row>
    <row r="2619" spans="2:15" ht="14.25">
      <c r="B2619" s="195">
        <v>1.7</v>
      </c>
      <c r="C2619" s="195">
        <v>14</v>
      </c>
      <c r="D2619" s="195">
        <v>6.2</v>
      </c>
      <c r="F2619" s="1315">
        <v>513</v>
      </c>
      <c r="G2619" s="195">
        <f>B2619/F2619*1000</f>
        <v>3.313840155945419</v>
      </c>
      <c r="H2619" s="1320">
        <f>M2619/F2619*100000/2</f>
        <v>145.22417153996102</v>
      </c>
      <c r="I2619" s="588" t="s">
        <v>2810</v>
      </c>
      <c r="J2619" s="96"/>
      <c r="K2619" s="29">
        <v>1.49</v>
      </c>
      <c r="L2619" s="30">
        <v>1000</v>
      </c>
      <c r="M2619" s="29">
        <f t="shared" si="208"/>
        <v>1.49</v>
      </c>
      <c r="O2619" s="24" t="s">
        <v>1199</v>
      </c>
    </row>
    <row r="2620" spans="2:15" ht="14.25">
      <c r="B2620" s="356">
        <v>1.1</v>
      </c>
      <c r="C2620" s="356">
        <v>13</v>
      </c>
      <c r="D2620" s="356">
        <v>5.5</v>
      </c>
      <c r="E2620" s="745"/>
      <c r="F2620" s="1316">
        <v>438</v>
      </c>
      <c r="G2620" s="356">
        <f t="shared" si="207"/>
        <v>2.5114155251141557</v>
      </c>
      <c r="H2620" s="1321"/>
      <c r="I2620" s="588" t="s">
        <v>2810</v>
      </c>
      <c r="J2620" s="96"/>
      <c r="K2620" s="29">
        <v>1.49</v>
      </c>
      <c r="L2620" s="30">
        <v>1000</v>
      </c>
      <c r="M2620" s="29">
        <f t="shared" si="208"/>
        <v>1.49</v>
      </c>
      <c r="O2620" s="24" t="s">
        <v>2439</v>
      </c>
    </row>
    <row r="2621" spans="6:15" ht="14.25">
      <c r="F2621" s="1315"/>
      <c r="H2621" s="1320"/>
      <c r="I2621" s="341" t="s">
        <v>1255</v>
      </c>
      <c r="J2621" s="55"/>
      <c r="K2621" s="25">
        <v>1.49</v>
      </c>
      <c r="L2621" s="26">
        <v>900</v>
      </c>
      <c r="M2621" s="25">
        <f>K2621/L2621*1000</f>
        <v>1.6555555555555554</v>
      </c>
      <c r="O2621" s="345" t="s">
        <v>1037</v>
      </c>
    </row>
    <row r="2622" spans="2:15" ht="14.25">
      <c r="B2622" s="195">
        <v>1.1</v>
      </c>
      <c r="C2622" s="195">
        <v>13</v>
      </c>
      <c r="D2622" s="195">
        <v>5.5</v>
      </c>
      <c r="F2622" s="1315">
        <v>438</v>
      </c>
      <c r="G2622" s="195">
        <f t="shared" si="207"/>
        <v>2.5114155251141557</v>
      </c>
      <c r="H2622" s="1320">
        <f>M2622/F2622*100000/2</f>
        <v>170.09132420091325</v>
      </c>
      <c r="I2622" s="341" t="s">
        <v>1343</v>
      </c>
      <c r="J2622" s="55"/>
      <c r="K2622" s="16">
        <v>1.49</v>
      </c>
      <c r="L2622" s="7">
        <v>1000</v>
      </c>
      <c r="M2622" s="348">
        <f t="shared" si="208"/>
        <v>1.49</v>
      </c>
      <c r="O2622" s="24" t="s">
        <v>2408</v>
      </c>
    </row>
    <row r="2623" spans="2:15" ht="14.25">
      <c r="B2623" s="195">
        <v>4.2</v>
      </c>
      <c r="C2623" s="195">
        <v>26.9</v>
      </c>
      <c r="D2623" s="195">
        <v>13.2</v>
      </c>
      <c r="F2623" s="198">
        <v>1034</v>
      </c>
      <c r="G2623" s="195">
        <f t="shared" si="207"/>
        <v>4.061895551257254</v>
      </c>
      <c r="H2623" s="1320">
        <f>M2623/F2623*100000</f>
        <v>144.10058027079302</v>
      </c>
      <c r="I2623" s="341" t="s">
        <v>2704</v>
      </c>
      <c r="J2623" s="55"/>
      <c r="K2623" s="16">
        <v>1.49</v>
      </c>
      <c r="L2623" s="7">
        <v>1000</v>
      </c>
      <c r="M2623" s="348">
        <f>K2623/L2623*1000</f>
        <v>1.49</v>
      </c>
      <c r="O2623" s="24" t="s">
        <v>2408</v>
      </c>
    </row>
    <row r="2624" spans="9:13" ht="15">
      <c r="I2624" s="87"/>
      <c r="J2624" s="55"/>
      <c r="K2624" s="16"/>
      <c r="L2624" s="7"/>
      <c r="M2624" s="16"/>
    </row>
    <row r="2625" spans="9:13" ht="15.75">
      <c r="I2625" s="84" t="s">
        <v>2661</v>
      </c>
      <c r="J2625" s="105"/>
      <c r="K2625" s="35"/>
      <c r="L2625" s="36" t="s">
        <v>319</v>
      </c>
      <c r="M2625" s="35"/>
    </row>
    <row r="2626" spans="2:15" ht="14.25">
      <c r="B2626" s="1284"/>
      <c r="C2626" s="1284"/>
      <c r="D2626" s="1284"/>
      <c r="E2626" s="1285"/>
      <c r="F2626" s="1286"/>
      <c r="G2626" s="1284"/>
      <c r="H2626" s="1284"/>
      <c r="I2626" s="1287" t="s">
        <v>2876</v>
      </c>
      <c r="J2626" s="1288"/>
      <c r="K2626" s="1289">
        <v>0.49</v>
      </c>
      <c r="L2626" s="1290">
        <v>5000</v>
      </c>
      <c r="M2626" s="1289">
        <f>K2626/L2626*1000</f>
        <v>0.098</v>
      </c>
      <c r="N2626" s="1291"/>
      <c r="O2626" s="1292" t="s">
        <v>2877</v>
      </c>
    </row>
    <row r="2627" spans="2:15" ht="14.25">
      <c r="B2627" s="1284"/>
      <c r="C2627" s="1284"/>
      <c r="D2627" s="1284"/>
      <c r="E2627" s="1285"/>
      <c r="F2627" s="1286"/>
      <c r="G2627" s="1284"/>
      <c r="H2627" s="1284"/>
      <c r="I2627" s="1293" t="s">
        <v>30</v>
      </c>
      <c r="J2627" s="1294">
        <v>1.19</v>
      </c>
      <c r="K2627" s="1295">
        <f>J2627*0.97</f>
        <v>1.1542999999999999</v>
      </c>
      <c r="L2627" s="1296">
        <v>2000</v>
      </c>
      <c r="M2627" s="1295">
        <f>K2627/L2627*1000</f>
        <v>0.5771499999999999</v>
      </c>
      <c r="N2627" s="1291"/>
      <c r="O2627" s="1292" t="s">
        <v>455</v>
      </c>
    </row>
    <row r="2628" spans="2:15" ht="14.25">
      <c r="B2628" s="1284"/>
      <c r="C2628" s="1284"/>
      <c r="D2628" s="1284"/>
      <c r="E2628" s="1285"/>
      <c r="F2628" s="1286"/>
      <c r="G2628" s="1284"/>
      <c r="H2628" s="1284"/>
      <c r="I2628" s="1293" t="s">
        <v>2637</v>
      </c>
      <c r="J2628" s="1294">
        <v>1.19</v>
      </c>
      <c r="K2628" s="1295">
        <f>J2628*0.97</f>
        <v>1.1542999999999999</v>
      </c>
      <c r="L2628" s="1296">
        <v>2000</v>
      </c>
      <c r="M2628" s="1295">
        <f>K2628/L2628*1000</f>
        <v>0.5771499999999999</v>
      </c>
      <c r="N2628" s="1291"/>
      <c r="O2628" s="1292" t="s">
        <v>692</v>
      </c>
    </row>
    <row r="2629" spans="2:15" ht="14.25">
      <c r="B2629" s="1284"/>
      <c r="C2629" s="1284"/>
      <c r="D2629" s="1284"/>
      <c r="E2629" s="1285"/>
      <c r="F2629" s="1286"/>
      <c r="G2629" s="1284"/>
      <c r="H2629" s="1284"/>
      <c r="I2629" s="1293" t="s">
        <v>234</v>
      </c>
      <c r="J2629" s="1294">
        <v>0.99</v>
      </c>
      <c r="K2629" s="1295">
        <f>J2629*0.97</f>
        <v>0.9602999999999999</v>
      </c>
      <c r="L2629" s="1296">
        <v>2000</v>
      </c>
      <c r="M2629" s="1295">
        <f>K2629/L2629*1000</f>
        <v>0.48014999999999997</v>
      </c>
      <c r="N2629" s="1291"/>
      <c r="O2629" s="1292" t="s">
        <v>1142</v>
      </c>
    </row>
    <row r="2630" spans="2:15" ht="14.25">
      <c r="B2630" s="1284"/>
      <c r="C2630" s="1284"/>
      <c r="D2630" s="1284"/>
      <c r="E2630" s="1285"/>
      <c r="F2630" s="1286"/>
      <c r="G2630" s="1284"/>
      <c r="H2630" s="1284"/>
      <c r="I2630" s="1293" t="s">
        <v>351</v>
      </c>
      <c r="J2630" s="1294">
        <v>0.89</v>
      </c>
      <c r="K2630" s="1295">
        <f>J2630*0.97</f>
        <v>0.8633</v>
      </c>
      <c r="L2630" s="1296">
        <v>2000</v>
      </c>
      <c r="M2630" s="1295">
        <f>K2630/L2630*1000</f>
        <v>0.43165</v>
      </c>
      <c r="N2630" s="1291"/>
      <c r="O2630" s="1292" t="s">
        <v>1142</v>
      </c>
    </row>
    <row r="2631" spans="9:13" ht="15.75">
      <c r="I2631" s="84" t="s">
        <v>1357</v>
      </c>
      <c r="J2631" s="105"/>
      <c r="K2631" s="35"/>
      <c r="L2631" s="36"/>
      <c r="M2631" s="35"/>
    </row>
    <row r="2632" spans="9:15" ht="12.75">
      <c r="I2632" s="80" t="s">
        <v>624</v>
      </c>
      <c r="J2632" s="105"/>
      <c r="K2632" s="35">
        <v>0.67</v>
      </c>
      <c r="L2632" s="36">
        <v>1000</v>
      </c>
      <c r="M2632" s="35">
        <f>K2632/L2632*1000</f>
        <v>0.67</v>
      </c>
      <c r="O2632" s="24" t="s">
        <v>1959</v>
      </c>
    </row>
    <row r="2633" spans="9:15" ht="12.75">
      <c r="I2633" s="43" t="s">
        <v>2875</v>
      </c>
      <c r="J2633" s="105">
        <v>0.99</v>
      </c>
      <c r="K2633" s="35">
        <f>J2633*0.97</f>
        <v>0.9602999999999999</v>
      </c>
      <c r="L2633" s="36">
        <v>1000</v>
      </c>
      <c r="M2633" s="35">
        <f>K2633/L2633*1000</f>
        <v>0.9602999999999999</v>
      </c>
      <c r="O2633" s="24" t="s">
        <v>1959</v>
      </c>
    </row>
    <row r="2634" ht="12.75">
      <c r="M2634" s="5"/>
    </row>
    <row r="2635" spans="9:13" ht="15.75">
      <c r="I2635" s="52" t="s">
        <v>879</v>
      </c>
      <c r="J2635" s="151"/>
      <c r="M2635" s="5"/>
    </row>
    <row r="2636" spans="9:15" ht="12.75">
      <c r="I2636" s="6" t="s">
        <v>1488</v>
      </c>
      <c r="J2636" s="55"/>
      <c r="K2636" s="16">
        <v>0.95</v>
      </c>
      <c r="O2636" s="24" t="s">
        <v>3180</v>
      </c>
    </row>
    <row r="2637" spans="9:15" ht="12.75">
      <c r="I2637" s="123" t="s">
        <v>1488</v>
      </c>
      <c r="J2637" s="162"/>
      <c r="K2637" s="148">
        <v>0.79</v>
      </c>
      <c r="O2637" s="24" t="s">
        <v>1489</v>
      </c>
    </row>
    <row r="2638" spans="9:15" ht="12.75">
      <c r="I2638" s="6" t="s">
        <v>3002</v>
      </c>
      <c r="J2638" s="55"/>
      <c r="K2638" s="16">
        <v>0.85</v>
      </c>
      <c r="O2638" s="24" t="s">
        <v>2168</v>
      </c>
    </row>
    <row r="2639" spans="9:15" ht="12.75">
      <c r="I2639" s="6" t="s">
        <v>1002</v>
      </c>
      <c r="J2639" s="55"/>
      <c r="K2639" s="16">
        <v>0.85</v>
      </c>
      <c r="O2639" s="24" t="s">
        <v>2065</v>
      </c>
    </row>
    <row r="2640" spans="9:15" ht="12.75">
      <c r="I2640" s="123" t="s">
        <v>557</v>
      </c>
      <c r="J2640" s="162"/>
      <c r="K2640" s="148">
        <v>0.99</v>
      </c>
      <c r="O2640" s="24" t="s">
        <v>1607</v>
      </c>
    </row>
    <row r="2641" spans="9:15" ht="12.75">
      <c r="I2641" s="37" t="s">
        <v>2322</v>
      </c>
      <c r="J2641" s="38"/>
      <c r="K2641" s="25">
        <v>0.85</v>
      </c>
      <c r="O2641" s="24" t="s">
        <v>537</v>
      </c>
    </row>
    <row r="2642" spans="9:15" ht="12.75">
      <c r="I2642" s="56" t="s">
        <v>1491</v>
      </c>
      <c r="J2642" s="156"/>
      <c r="K2642" s="57">
        <v>0.85</v>
      </c>
      <c r="O2642" s="24" t="s">
        <v>537</v>
      </c>
    </row>
    <row r="2643" spans="9:15" ht="12.75">
      <c r="I2643" s="123" t="s">
        <v>143</v>
      </c>
      <c r="J2643" s="162"/>
      <c r="K2643" s="148">
        <v>0.49</v>
      </c>
      <c r="L2643" s="7"/>
      <c r="M2643" s="16"/>
      <c r="N2643" t="s">
        <v>1362</v>
      </c>
      <c r="O2643" s="88" t="s">
        <v>289</v>
      </c>
    </row>
    <row r="2644" spans="9:15" ht="12.75">
      <c r="I2644" s="6"/>
      <c r="J2644" s="55"/>
      <c r="K2644" s="16"/>
      <c r="L2644" s="7"/>
      <c r="M2644" s="16"/>
      <c r="O2644" s="88"/>
    </row>
    <row r="2645" spans="9:15" ht="15.75">
      <c r="I2645" s="52" t="s">
        <v>347</v>
      </c>
      <c r="J2645" s="55"/>
      <c r="K2645" s="16"/>
      <c r="L2645" s="7"/>
      <c r="M2645" s="16"/>
      <c r="O2645" s="88"/>
    </row>
    <row r="2646" spans="9:15" ht="12.75">
      <c r="I2646" s="6" t="s">
        <v>73</v>
      </c>
      <c r="J2646" s="55"/>
      <c r="K2646" s="16"/>
      <c r="L2646" s="7"/>
      <c r="M2646" s="16">
        <v>1.99</v>
      </c>
      <c r="O2646" s="51" t="s">
        <v>637</v>
      </c>
    </row>
    <row r="2647" spans="9:15" ht="12.75">
      <c r="I2647" s="6" t="s">
        <v>73</v>
      </c>
      <c r="J2647" s="55"/>
      <c r="K2647" s="16"/>
      <c r="L2647" s="7"/>
      <c r="M2647" s="16">
        <v>2.5</v>
      </c>
      <c r="O2647" s="88" t="s">
        <v>2066</v>
      </c>
    </row>
    <row r="2648" spans="9:15" ht="12.75">
      <c r="I2648" s="109" t="s">
        <v>1853</v>
      </c>
      <c r="J2648" s="120"/>
      <c r="K2648" s="22"/>
      <c r="L2648" s="23"/>
      <c r="M2648" s="22">
        <v>2.2</v>
      </c>
      <c r="O2648" s="88" t="s">
        <v>776</v>
      </c>
    </row>
    <row r="2649" spans="9:15" ht="15.75">
      <c r="I2649" s="52" t="s">
        <v>518</v>
      </c>
      <c r="J2649" s="55"/>
      <c r="K2649" s="16"/>
      <c r="L2649" s="7"/>
      <c r="M2649" s="16"/>
      <c r="O2649" s="88"/>
    </row>
    <row r="2650" spans="9:15" ht="12.75">
      <c r="I2650" s="15" t="s">
        <v>1853</v>
      </c>
      <c r="J2650" s="55"/>
      <c r="K2650" s="16">
        <v>2.2</v>
      </c>
      <c r="L2650" s="7">
        <v>2</v>
      </c>
      <c r="M2650" s="129">
        <f>K2650/L2650</f>
        <v>1.1</v>
      </c>
      <c r="O2650" s="88" t="s">
        <v>776</v>
      </c>
    </row>
    <row r="2651" spans="9:15" ht="15.75">
      <c r="I2651" s="52"/>
      <c r="J2651" s="55"/>
      <c r="K2651" s="16"/>
      <c r="L2651" s="7"/>
      <c r="M2651" s="16"/>
      <c r="O2651" s="88"/>
    </row>
    <row r="2652" ht="12.75"/>
    <row r="2653" spans="9:15" ht="12.75">
      <c r="I2653" s="849" t="s">
        <v>1800</v>
      </c>
      <c r="J2653" s="1298"/>
      <c r="K2653" s="850"/>
      <c r="L2653" s="851"/>
      <c r="M2653" s="850">
        <v>3</v>
      </c>
      <c r="O2653" s="24" t="s">
        <v>1159</v>
      </c>
    </row>
    <row r="2654" spans="9:15" ht="12.75">
      <c r="I2654" s="993" t="s">
        <v>1815</v>
      </c>
      <c r="J2654" s="1298"/>
      <c r="K2654" s="850"/>
      <c r="L2654" s="851"/>
      <c r="M2654" s="1012">
        <v>2.5</v>
      </c>
      <c r="O2654" s="24" t="s">
        <v>1738</v>
      </c>
    </row>
    <row r="2655" ht="12.75"/>
    <row r="2656" spans="9:13" ht="15.75">
      <c r="I2656" s="178" t="s">
        <v>2819</v>
      </c>
      <c r="M2656" s="35" t="s">
        <v>785</v>
      </c>
    </row>
    <row r="2657" spans="1:15" s="391" customFormat="1" ht="12.75">
      <c r="A2657" s="471"/>
      <c r="B2657" s="441"/>
      <c r="C2657" s="441"/>
      <c r="D2657" s="441"/>
      <c r="E2657" s="748"/>
      <c r="F2657" s="442"/>
      <c r="G2657" s="441"/>
      <c r="H2657" s="441"/>
      <c r="I2657" s="718" t="s">
        <v>2820</v>
      </c>
      <c r="J2657" s="1219"/>
      <c r="K2657" s="1220"/>
      <c r="L2657" s="1221"/>
      <c r="M2657" s="330">
        <v>2.99</v>
      </c>
      <c r="O2657" s="448" t="s">
        <v>1281</v>
      </c>
    </row>
    <row r="2658" spans="1:15" s="391" customFormat="1" ht="12.75">
      <c r="A2658" s="471"/>
      <c r="B2658" s="441"/>
      <c r="C2658" s="441"/>
      <c r="D2658" s="441"/>
      <c r="E2658" s="748"/>
      <c r="F2658" s="442"/>
      <c r="G2658" s="441"/>
      <c r="H2658" s="441"/>
      <c r="I2658" s="718" t="s">
        <v>1846</v>
      </c>
      <c r="J2658" s="1219"/>
      <c r="K2658" s="1220"/>
      <c r="L2658" s="1221"/>
      <c r="M2658" s="330">
        <v>2.99</v>
      </c>
      <c r="O2658" s="448" t="s">
        <v>2179</v>
      </c>
    </row>
    <row r="2659" ht="12.75"/>
    <row r="2660" spans="9:13" ht="15.75">
      <c r="I2660" s="91" t="s">
        <v>1101</v>
      </c>
      <c r="M2660" s="35" t="s">
        <v>785</v>
      </c>
    </row>
    <row r="2661" spans="1:15" s="391" customFormat="1" ht="12.75">
      <c r="A2661" s="471"/>
      <c r="B2661" s="441"/>
      <c r="C2661" s="441"/>
      <c r="D2661" s="441"/>
      <c r="E2661" s="748"/>
      <c r="F2661" s="442"/>
      <c r="G2661" s="441"/>
      <c r="H2661" s="441"/>
      <c r="I2661" s="718" t="s">
        <v>3049</v>
      </c>
      <c r="J2661" s="1219"/>
      <c r="K2661" s="1220"/>
      <c r="L2661" s="1221"/>
      <c r="M2661" s="330">
        <v>2.99</v>
      </c>
      <c r="O2661" s="716" t="s">
        <v>637</v>
      </c>
    </row>
    <row r="2662" spans="9:15" ht="12.75">
      <c r="I2662" s="37" t="s">
        <v>73</v>
      </c>
      <c r="J2662" s="55"/>
      <c r="K2662" s="16"/>
      <c r="M2662" s="400">
        <v>3.99</v>
      </c>
      <c r="O2662" s="716" t="s">
        <v>637</v>
      </c>
    </row>
    <row r="2663" spans="9:15" ht="12.75">
      <c r="I2663" s="37" t="s">
        <v>1795</v>
      </c>
      <c r="J2663" s="55"/>
      <c r="K2663" s="16"/>
      <c r="M2663" s="400">
        <v>3.99</v>
      </c>
      <c r="O2663" s="716" t="s">
        <v>1458</v>
      </c>
    </row>
    <row r="2664" spans="9:15" ht="12.75">
      <c r="I2664" s="15" t="s">
        <v>2665</v>
      </c>
      <c r="J2664" s="55"/>
      <c r="K2664" s="16"/>
      <c r="M2664" s="58">
        <f>0.7*2.99</f>
        <v>2.093</v>
      </c>
      <c r="N2664" s="108" t="s">
        <v>2359</v>
      </c>
      <c r="O2664" s="24" t="s">
        <v>1868</v>
      </c>
    </row>
    <row r="2665" spans="9:15" ht="12.75">
      <c r="I2665" s="15" t="s">
        <v>2296</v>
      </c>
      <c r="J2665" s="55"/>
      <c r="K2665" s="16"/>
      <c r="M2665" s="58">
        <f>0.8*2.99</f>
        <v>2.3920000000000003</v>
      </c>
      <c r="N2665" s="108" t="s">
        <v>2697</v>
      </c>
      <c r="O2665" s="24" t="s">
        <v>1868</v>
      </c>
    </row>
    <row r="2666" spans="9:15" ht="12.75">
      <c r="I2666" s="6" t="s">
        <v>2296</v>
      </c>
      <c r="J2666" s="55"/>
      <c r="K2666" s="16"/>
      <c r="L2666" s="33"/>
      <c r="M2666" s="32">
        <v>2.99</v>
      </c>
      <c r="O2666" s="716" t="s">
        <v>1145</v>
      </c>
    </row>
    <row r="2667" spans="9:15" ht="12.75">
      <c r="I2667" s="147" t="s">
        <v>829</v>
      </c>
      <c r="J2667" s="162"/>
      <c r="K2667" s="148"/>
      <c r="L2667" s="149"/>
      <c r="M2667" s="721">
        <v>2.49</v>
      </c>
      <c r="O2667" s="24" t="s">
        <v>1458</v>
      </c>
    </row>
    <row r="2668" spans="9:15" ht="12.75">
      <c r="I2668" s="15" t="s">
        <v>112</v>
      </c>
      <c r="J2668" s="55"/>
      <c r="K2668" s="16"/>
      <c r="M2668" s="58">
        <v>3.5</v>
      </c>
      <c r="N2668" s="440" t="s">
        <v>995</v>
      </c>
      <c r="O2668" s="716" t="s">
        <v>1458</v>
      </c>
    </row>
    <row r="2669" spans="9:15" ht="12.75">
      <c r="I2669" s="6" t="s">
        <v>2159</v>
      </c>
      <c r="J2669" s="55"/>
      <c r="K2669" s="16"/>
      <c r="M2669" s="400">
        <v>3.99</v>
      </c>
      <c r="O2669" s="716" t="s">
        <v>1458</v>
      </c>
    </row>
    <row r="2670" spans="9:15" ht="12.75">
      <c r="I2670" s="6" t="s">
        <v>2599</v>
      </c>
      <c r="J2670" s="55"/>
      <c r="K2670" s="16"/>
      <c r="M2670" s="400">
        <v>4.99</v>
      </c>
      <c r="O2670" s="716" t="s">
        <v>1458</v>
      </c>
    </row>
    <row r="2671" spans="9:15" ht="12.75">
      <c r="I2671" s="6" t="s">
        <v>2783</v>
      </c>
      <c r="J2671" s="55"/>
      <c r="K2671" s="16">
        <v>5.99</v>
      </c>
      <c r="L2671">
        <v>2</v>
      </c>
      <c r="M2671" s="5">
        <f>K2671/L2671</f>
        <v>2.995</v>
      </c>
      <c r="O2671" s="716" t="s">
        <v>415</v>
      </c>
    </row>
    <row r="2672" spans="9:15" ht="12.75">
      <c r="I2672" s="6" t="s">
        <v>732</v>
      </c>
      <c r="J2672" s="55"/>
      <c r="K2672" s="16">
        <v>5.99</v>
      </c>
      <c r="L2672">
        <v>2</v>
      </c>
      <c r="M2672" s="5">
        <f>K2672/L2672</f>
        <v>2.995</v>
      </c>
      <c r="O2672" s="24" t="s">
        <v>415</v>
      </c>
    </row>
    <row r="2673" spans="9:15" ht="12.75">
      <c r="I2673" s="277" t="s">
        <v>286</v>
      </c>
      <c r="J2673" s="1609" t="s">
        <v>2881</v>
      </c>
      <c r="K2673" s="1610"/>
      <c r="L2673" s="1610"/>
      <c r="M2673" s="1610"/>
      <c r="O2673" s="716" t="s">
        <v>1458</v>
      </c>
    </row>
    <row r="2674" spans="2:15" s="349" customFormat="1" ht="12.75">
      <c r="B2674" s="611"/>
      <c r="C2674" s="611"/>
      <c r="D2674" s="611"/>
      <c r="E2674" s="751"/>
      <c r="F2674" s="612"/>
      <c r="G2674" s="611"/>
      <c r="H2674" s="611"/>
      <c r="I2674" s="37" t="s">
        <v>2760</v>
      </c>
      <c r="J2674" s="105"/>
      <c r="K2674" s="35"/>
      <c r="L2674" s="36"/>
      <c r="M2674" s="25">
        <v>4.99</v>
      </c>
      <c r="N2674" s="36"/>
      <c r="O2674" s="51" t="s">
        <v>2174</v>
      </c>
    </row>
    <row r="2675" spans="2:15" s="349" customFormat="1" ht="12.75">
      <c r="B2675" s="611"/>
      <c r="C2675" s="611"/>
      <c r="D2675" s="611"/>
      <c r="E2675" s="751"/>
      <c r="F2675" s="612"/>
      <c r="G2675" s="611"/>
      <c r="H2675" s="611"/>
      <c r="I2675" s="37"/>
      <c r="J2675" s="105"/>
      <c r="K2675" s="35"/>
      <c r="L2675" s="36"/>
      <c r="M2675" s="25"/>
      <c r="N2675" s="36"/>
      <c r="O2675" s="81"/>
    </row>
    <row r="2676" spans="2:15" s="349" customFormat="1" ht="12.75">
      <c r="B2676" s="611"/>
      <c r="C2676" s="611"/>
      <c r="D2676" s="611"/>
      <c r="E2676" s="751"/>
      <c r="F2676" s="612"/>
      <c r="G2676" s="611"/>
      <c r="H2676" s="611"/>
      <c r="I2676" s="123" t="s">
        <v>566</v>
      </c>
      <c r="J2676" s="162"/>
      <c r="K2676" s="148"/>
      <c r="L2676" s="149"/>
      <c r="M2676" s="148">
        <v>1.99</v>
      </c>
      <c r="N2676" s="36"/>
      <c r="O2676" s="81" t="s">
        <v>2622</v>
      </c>
    </row>
    <row r="2677" spans="2:15" s="349" customFormat="1" ht="12.75">
      <c r="B2677" s="611"/>
      <c r="C2677" s="611"/>
      <c r="D2677" s="611"/>
      <c r="E2677" s="751"/>
      <c r="F2677" s="612"/>
      <c r="G2677" s="611"/>
      <c r="H2677" s="611"/>
      <c r="I2677" s="123" t="s">
        <v>566</v>
      </c>
      <c r="J2677" s="162"/>
      <c r="K2677" s="148"/>
      <c r="L2677" s="149"/>
      <c r="M2677" s="148">
        <v>1.69</v>
      </c>
      <c r="N2677" s="225" t="s">
        <v>1682</v>
      </c>
      <c r="O2677" s="81" t="s">
        <v>2622</v>
      </c>
    </row>
    <row r="2678" spans="9:15" ht="12.75">
      <c r="I2678" s="123" t="s">
        <v>400</v>
      </c>
      <c r="J2678" s="162"/>
      <c r="K2678" s="148"/>
      <c r="L2678" s="149"/>
      <c r="M2678" s="148">
        <v>2.5</v>
      </c>
      <c r="N2678" s="69"/>
      <c r="O2678" s="623" t="s">
        <v>1038</v>
      </c>
    </row>
    <row r="2679" spans="9:15" ht="12.75">
      <c r="I2679" s="123" t="s">
        <v>401</v>
      </c>
      <c r="J2679" s="162"/>
      <c r="K2679" s="148"/>
      <c r="L2679" s="149"/>
      <c r="M2679" s="148">
        <v>2.8</v>
      </c>
      <c r="N2679" s="69"/>
      <c r="O2679" s="623" t="s">
        <v>1244</v>
      </c>
    </row>
    <row r="2680" spans="9:15" ht="12.75">
      <c r="I2680" s="123" t="s">
        <v>734</v>
      </c>
      <c r="J2680" s="162"/>
      <c r="K2680" s="148"/>
      <c r="L2680" s="149"/>
      <c r="M2680" s="148">
        <v>3</v>
      </c>
      <c r="N2680" s="69"/>
      <c r="O2680" s="623" t="s">
        <v>1244</v>
      </c>
    </row>
    <row r="2681" ht="12.75">
      <c r="M2681" s="5"/>
    </row>
    <row r="2682" spans="9:15" ht="15.75">
      <c r="I2682" s="79" t="s">
        <v>2165</v>
      </c>
      <c r="J2682" s="159"/>
      <c r="K2682" s="35"/>
      <c r="L2682" s="36" t="s">
        <v>2743</v>
      </c>
      <c r="M2682" s="35" t="s">
        <v>785</v>
      </c>
      <c r="N2682" s="36"/>
      <c r="O2682" s="81"/>
    </row>
    <row r="2683" spans="9:15" ht="12.75">
      <c r="I2683" s="80" t="s">
        <v>1324</v>
      </c>
      <c r="J2683" s="105"/>
      <c r="K2683" s="35">
        <v>0.89</v>
      </c>
      <c r="L2683" s="36">
        <v>5</v>
      </c>
      <c r="M2683" s="35">
        <f>K2683/L2683</f>
        <v>0.178</v>
      </c>
      <c r="N2683" s="225" t="s">
        <v>1682</v>
      </c>
      <c r="O2683" s="81" t="s">
        <v>943</v>
      </c>
    </row>
    <row r="2684" spans="9:15" ht="12.75">
      <c r="I2684" s="82" t="s">
        <v>344</v>
      </c>
      <c r="J2684" s="105"/>
      <c r="K2684" s="35">
        <v>1.39</v>
      </c>
      <c r="L2684" s="36">
        <v>5</v>
      </c>
      <c r="M2684" s="35">
        <f>K2684/L2684</f>
        <v>0.27799999999999997</v>
      </c>
      <c r="N2684" s="36" t="s">
        <v>1362</v>
      </c>
      <c r="O2684" s="81"/>
    </row>
    <row r="2685" spans="9:15" ht="12.75">
      <c r="I2685" s="82" t="s">
        <v>1753</v>
      </c>
      <c r="J2685" s="105"/>
      <c r="K2685" s="35">
        <v>1.29</v>
      </c>
      <c r="L2685" s="36">
        <v>2</v>
      </c>
      <c r="M2685" s="35">
        <f>K2685/L2685</f>
        <v>0.645</v>
      </c>
      <c r="N2685" s="36"/>
      <c r="O2685" s="81" t="s">
        <v>1142</v>
      </c>
    </row>
    <row r="2686" spans="9:15" ht="12.75">
      <c r="I2686" s="80" t="s">
        <v>2150</v>
      </c>
      <c r="J2686" s="105"/>
      <c r="K2686" s="35">
        <v>1.09</v>
      </c>
      <c r="L2686" s="36">
        <v>2</v>
      </c>
      <c r="M2686" s="35">
        <f>K2686/L2686</f>
        <v>0.545</v>
      </c>
      <c r="N2686" s="36"/>
      <c r="O2686" s="81" t="s">
        <v>35</v>
      </c>
    </row>
    <row r="2687" spans="9:15" ht="12.75">
      <c r="I2687" s="82"/>
      <c r="J2687" s="105"/>
      <c r="K2687" s="35"/>
      <c r="L2687" s="36"/>
      <c r="M2687" s="35"/>
      <c r="N2687" s="36"/>
      <c r="O2687" s="81"/>
    </row>
    <row r="2688" spans="9:15" ht="15.75">
      <c r="I2688" s="79" t="s">
        <v>50</v>
      </c>
      <c r="J2688" s="159"/>
      <c r="K2688" s="35"/>
      <c r="L2688" s="36" t="s">
        <v>2743</v>
      </c>
      <c r="M2688" s="35" t="s">
        <v>785</v>
      </c>
      <c r="N2688" s="36"/>
      <c r="O2688" s="81"/>
    </row>
    <row r="2689" spans="9:15" ht="14.25">
      <c r="I2689" s="341" t="s">
        <v>1386</v>
      </c>
      <c r="J2689" s="342"/>
      <c r="K2689" s="343"/>
      <c r="L2689" s="344"/>
      <c r="M2689" s="343"/>
      <c r="N2689" s="344"/>
      <c r="O2689" s="345" t="s">
        <v>12</v>
      </c>
    </row>
    <row r="2690" spans="9:15" ht="15">
      <c r="I2690" s="424" t="s">
        <v>521</v>
      </c>
      <c r="J2690" s="615"/>
      <c r="K2690" s="616">
        <v>1.69</v>
      </c>
      <c r="L2690" s="617">
        <v>5</v>
      </c>
      <c r="M2690" s="276">
        <f aca="true" t="shared" si="209" ref="M2690:M2695">K2690/L2690</f>
        <v>0.33799999999999997</v>
      </c>
      <c r="N2690" s="617"/>
      <c r="O2690" s="618" t="s">
        <v>1226</v>
      </c>
    </row>
    <row r="2691" spans="9:15" ht="15">
      <c r="I2691" s="425" t="s">
        <v>2689</v>
      </c>
      <c r="J2691" s="706"/>
      <c r="K2691" s="707">
        <v>6.99</v>
      </c>
      <c r="L2691" s="708">
        <v>10</v>
      </c>
      <c r="M2691" s="41">
        <f t="shared" si="209"/>
        <v>0.6990000000000001</v>
      </c>
      <c r="N2691" s="617"/>
      <c r="O2691" s="618" t="s">
        <v>1595</v>
      </c>
    </row>
    <row r="2692" spans="9:15" ht="15">
      <c r="I2692" s="424" t="s">
        <v>2255</v>
      </c>
      <c r="J2692" s="615"/>
      <c r="K2692" s="616">
        <v>1.99</v>
      </c>
      <c r="L2692" s="617">
        <v>3</v>
      </c>
      <c r="M2692" s="276">
        <f t="shared" si="209"/>
        <v>0.6633333333333333</v>
      </c>
      <c r="N2692" s="617"/>
      <c r="O2692" s="618" t="s">
        <v>1539</v>
      </c>
    </row>
    <row r="2693" spans="9:15" ht="15">
      <c r="I2693" s="424" t="s">
        <v>1331</v>
      </c>
      <c r="J2693" s="615"/>
      <c r="K2693" s="616">
        <v>1.69</v>
      </c>
      <c r="L2693" s="617">
        <v>3</v>
      </c>
      <c r="M2693" s="276">
        <f t="shared" si="209"/>
        <v>0.5633333333333334</v>
      </c>
      <c r="N2693" s="617"/>
      <c r="O2693" s="618" t="s">
        <v>1539</v>
      </c>
    </row>
    <row r="2694" spans="2:15" s="391" customFormat="1" ht="12.75">
      <c r="B2694" s="441"/>
      <c r="C2694" s="441"/>
      <c r="D2694" s="441"/>
      <c r="E2694" s="748"/>
      <c r="F2694" s="442"/>
      <c r="G2694" s="441"/>
      <c r="H2694" s="441"/>
      <c r="I2694" s="619" t="s">
        <v>2352</v>
      </c>
      <c r="J2694" s="620"/>
      <c r="K2694" s="621">
        <v>1.59</v>
      </c>
      <c r="L2694" s="622">
        <v>2</v>
      </c>
      <c r="M2694" s="621">
        <f t="shared" si="209"/>
        <v>0.795</v>
      </c>
      <c r="N2694" s="395" t="s">
        <v>2306</v>
      </c>
      <c r="O2694" s="614" t="s">
        <v>12</v>
      </c>
    </row>
    <row r="2695" spans="2:15" s="391" customFormat="1" ht="12.75">
      <c r="B2695" s="441"/>
      <c r="C2695" s="441"/>
      <c r="D2695" s="441"/>
      <c r="E2695" s="748"/>
      <c r="F2695" s="442"/>
      <c r="G2695" s="441"/>
      <c r="H2695" s="441"/>
      <c r="I2695" s="399" t="s">
        <v>496</v>
      </c>
      <c r="J2695" s="613"/>
      <c r="K2695" s="621">
        <v>1.5</v>
      </c>
      <c r="L2695" s="622">
        <v>3</v>
      </c>
      <c r="M2695" s="621">
        <f t="shared" si="209"/>
        <v>0.5</v>
      </c>
      <c r="N2695" s="331"/>
      <c r="O2695" s="614" t="s">
        <v>1539</v>
      </c>
    </row>
    <row r="2696" spans="9:15" ht="12.75">
      <c r="I2696" s="28" t="s">
        <v>609</v>
      </c>
      <c r="J2696" s="96"/>
      <c r="K2696" s="29"/>
      <c r="L2696" s="30"/>
      <c r="M2696" s="29">
        <v>0.9</v>
      </c>
      <c r="N2696" s="30"/>
      <c r="O2696" s="81" t="s">
        <v>1304</v>
      </c>
    </row>
    <row r="2697" spans="9:15" ht="12.75">
      <c r="I2697" s="28" t="s">
        <v>605</v>
      </c>
      <c r="J2697" s="96"/>
      <c r="K2697" s="29">
        <v>1.99</v>
      </c>
      <c r="L2697" s="30">
        <v>3</v>
      </c>
      <c r="M2697" s="29">
        <f>K2697/L2697</f>
        <v>0.6633333333333333</v>
      </c>
      <c r="N2697" s="30"/>
      <c r="O2697" s="81" t="s">
        <v>1639</v>
      </c>
    </row>
    <row r="2698" spans="9:15" ht="12.75">
      <c r="I2698" s="71" t="s">
        <v>1325</v>
      </c>
      <c r="J2698" s="96"/>
      <c r="K2698" s="29">
        <v>0.89</v>
      </c>
      <c r="L2698" s="30">
        <v>5</v>
      </c>
      <c r="M2698" s="29">
        <f>K2698/L2698</f>
        <v>0.178</v>
      </c>
      <c r="N2698" s="117" t="s">
        <v>1682</v>
      </c>
      <c r="O2698" s="81" t="s">
        <v>943</v>
      </c>
    </row>
    <row r="2699" spans="9:15" ht="12.75">
      <c r="I2699" s="28" t="s">
        <v>618</v>
      </c>
      <c r="J2699" s="96"/>
      <c r="K2699" s="29">
        <v>1.19</v>
      </c>
      <c r="L2699" s="30">
        <v>5</v>
      </c>
      <c r="M2699" s="29">
        <f>K2699/L2699</f>
        <v>0.238</v>
      </c>
      <c r="N2699" s="30"/>
      <c r="O2699" s="81" t="s">
        <v>1796</v>
      </c>
    </row>
    <row r="2700" spans="9:15" ht="12.75">
      <c r="I2700" s="28" t="s">
        <v>2691</v>
      </c>
      <c r="J2700" s="96"/>
      <c r="K2700" s="29"/>
      <c r="L2700" s="30"/>
      <c r="M2700" s="29">
        <v>0.49</v>
      </c>
      <c r="N2700" s="30"/>
      <c r="O2700" s="81" t="s">
        <v>1804</v>
      </c>
    </row>
    <row r="2701" spans="9:15" ht="12.75">
      <c r="I2701" s="28" t="s">
        <v>2900</v>
      </c>
      <c r="J2701" s="96"/>
      <c r="K2701" s="29">
        <v>1.35</v>
      </c>
      <c r="L2701" s="30">
        <v>3</v>
      </c>
      <c r="M2701" s="29">
        <f>K2701/L2701</f>
        <v>0.45</v>
      </c>
      <c r="N2701" s="30"/>
      <c r="O2701" s="81" t="s">
        <v>1804</v>
      </c>
    </row>
    <row r="2702" spans="9:15" ht="12.75">
      <c r="I2702" s="28" t="s">
        <v>1928</v>
      </c>
      <c r="J2702" s="96"/>
      <c r="K2702" s="29"/>
      <c r="L2702" s="30"/>
      <c r="M2702" s="29">
        <v>0.5</v>
      </c>
      <c r="N2702" s="30"/>
      <c r="O2702" s="81" t="s">
        <v>1020</v>
      </c>
    </row>
    <row r="2703" spans="9:15" ht="12.75">
      <c r="I2703" s="28" t="s">
        <v>2901</v>
      </c>
      <c r="J2703" s="96"/>
      <c r="K2703" s="29"/>
      <c r="L2703" s="30"/>
      <c r="M2703" s="29">
        <v>0.75</v>
      </c>
      <c r="N2703" s="30"/>
      <c r="O2703" s="81" t="s">
        <v>1020</v>
      </c>
    </row>
    <row r="2704" spans="9:15" ht="12.75">
      <c r="I2704" s="28" t="s">
        <v>2149</v>
      </c>
      <c r="J2704" s="96"/>
      <c r="K2704" s="29">
        <v>1.59</v>
      </c>
      <c r="L2704" s="30">
        <v>2</v>
      </c>
      <c r="M2704" s="29">
        <f>K2704/L2704</f>
        <v>0.795</v>
      </c>
      <c r="N2704" s="30"/>
      <c r="O2704" s="81" t="s">
        <v>1439</v>
      </c>
    </row>
    <row r="2705" spans="9:15" ht="12.75">
      <c r="I2705" s="28" t="s">
        <v>1438</v>
      </c>
      <c r="J2705" s="96"/>
      <c r="K2705" s="29">
        <v>1.29</v>
      </c>
      <c r="L2705" s="30">
        <v>2</v>
      </c>
      <c r="M2705" s="29">
        <f>K2705/L2705</f>
        <v>0.645</v>
      </c>
      <c r="N2705" s="30"/>
      <c r="O2705" s="81" t="s">
        <v>1925</v>
      </c>
    </row>
    <row r="2706" spans="9:15" ht="12.75">
      <c r="I2706" s="28" t="s">
        <v>949</v>
      </c>
      <c r="J2706" s="96"/>
      <c r="K2706" s="29">
        <v>1.59</v>
      </c>
      <c r="L2706" s="30">
        <v>2</v>
      </c>
      <c r="M2706" s="29">
        <f>K2706/L2706</f>
        <v>0.795</v>
      </c>
      <c r="N2706" s="30"/>
      <c r="O2706" s="81" t="s">
        <v>646</v>
      </c>
    </row>
    <row r="2707" spans="9:15" ht="12.75">
      <c r="I2707" s="82"/>
      <c r="J2707" s="105"/>
      <c r="K2707" s="35"/>
      <c r="L2707" s="36"/>
      <c r="M2707" s="35"/>
      <c r="N2707" s="36"/>
      <c r="O2707" s="81"/>
    </row>
    <row r="2708" spans="9:15" ht="15.75">
      <c r="I2708" s="79" t="s">
        <v>725</v>
      </c>
      <c r="J2708" s="105"/>
      <c r="K2708" s="35"/>
      <c r="L2708" s="36"/>
      <c r="M2708" s="35" t="s">
        <v>884</v>
      </c>
      <c r="N2708" s="36"/>
      <c r="O2708" s="81"/>
    </row>
    <row r="2709" spans="9:15" ht="12.75">
      <c r="I2709" s="37" t="s">
        <v>2608</v>
      </c>
      <c r="J2709" s="105"/>
      <c r="K2709" s="35">
        <v>2.99</v>
      </c>
      <c r="L2709" s="36">
        <v>10</v>
      </c>
      <c r="M2709" s="35">
        <f>K2709/L2709</f>
        <v>0.29900000000000004</v>
      </c>
      <c r="N2709" s="36" t="s">
        <v>1537</v>
      </c>
      <c r="O2709" s="81" t="s">
        <v>2750</v>
      </c>
    </row>
    <row r="2710" spans="9:15" ht="12.75">
      <c r="I2710" s="71" t="s">
        <v>424</v>
      </c>
      <c r="J2710" s="96"/>
      <c r="K2710" s="29">
        <v>1.5</v>
      </c>
      <c r="L2710" s="30">
        <v>20</v>
      </c>
      <c r="M2710" s="29">
        <f>K2710/L2710</f>
        <v>0.075</v>
      </c>
      <c r="N2710" s="30" t="s">
        <v>1537</v>
      </c>
      <c r="O2710" s="54" t="s">
        <v>2750</v>
      </c>
    </row>
    <row r="2711" spans="9:15" ht="12.75">
      <c r="I2711" s="80" t="s">
        <v>1058</v>
      </c>
      <c r="J2711" s="105"/>
      <c r="K2711" s="35">
        <v>1.9</v>
      </c>
      <c r="L2711" s="36">
        <v>16</v>
      </c>
      <c r="M2711" s="35">
        <f>K2711/L2711</f>
        <v>0.11875</v>
      </c>
      <c r="N2711" s="36"/>
      <c r="O2711" s="81" t="s">
        <v>1646</v>
      </c>
    </row>
    <row r="2712" spans="9:15" ht="12.75">
      <c r="I2712" s="82" t="s">
        <v>2116</v>
      </c>
      <c r="J2712" s="105"/>
      <c r="K2712" s="35">
        <v>3</v>
      </c>
      <c r="L2712" s="36">
        <v>8</v>
      </c>
      <c r="M2712" s="35">
        <f>K2712/L2712</f>
        <v>0.375</v>
      </c>
      <c r="N2712" s="36"/>
      <c r="O2712" s="81" t="s">
        <v>608</v>
      </c>
    </row>
    <row r="2713" spans="9:15" ht="12.75">
      <c r="I2713" s="80" t="s">
        <v>2163</v>
      </c>
      <c r="J2713" s="105"/>
      <c r="K2713" s="35">
        <v>3.5</v>
      </c>
      <c r="L2713" s="36">
        <v>2</v>
      </c>
      <c r="M2713" s="35">
        <f>K2713/L2713</f>
        <v>1.75</v>
      </c>
      <c r="N2713" s="36"/>
      <c r="O2713" s="81">
        <v>2004</v>
      </c>
    </row>
    <row r="2714" spans="9:15" ht="12.75">
      <c r="I2714" s="82"/>
      <c r="J2714" s="105"/>
      <c r="K2714" s="35"/>
      <c r="L2714" s="36"/>
      <c r="M2714" s="35"/>
      <c r="N2714" s="36"/>
      <c r="O2714" s="81"/>
    </row>
    <row r="2715" spans="9:15" ht="15.75">
      <c r="I2715" s="79" t="s">
        <v>489</v>
      </c>
      <c r="J2715" s="105"/>
      <c r="K2715" s="35"/>
      <c r="L2715" s="36"/>
      <c r="M2715" s="35" t="s">
        <v>884</v>
      </c>
      <c r="N2715" s="36"/>
      <c r="O2715" s="81"/>
    </row>
    <row r="2716" spans="9:15" ht="12.75">
      <c r="I2716" s="82" t="s">
        <v>1004</v>
      </c>
      <c r="J2716" s="105"/>
      <c r="K2716" s="35"/>
      <c r="L2716" s="36"/>
      <c r="M2716" s="35">
        <v>1</v>
      </c>
      <c r="N2716" s="36"/>
      <c r="O2716" s="81" t="s">
        <v>2131</v>
      </c>
    </row>
    <row r="2717" spans="9:15" ht="12.75">
      <c r="I2717" s="37" t="s">
        <v>1212</v>
      </c>
      <c r="J2717" s="38"/>
      <c r="K2717" s="25"/>
      <c r="L2717" s="26"/>
      <c r="M2717" s="25">
        <v>1</v>
      </c>
      <c r="N2717" s="131" t="s">
        <v>1213</v>
      </c>
      <c r="O2717" s="81" t="s">
        <v>1016</v>
      </c>
    </row>
    <row r="2718" spans="9:15" ht="12.75">
      <c r="I2718" s="82" t="s">
        <v>863</v>
      </c>
      <c r="J2718" s="105"/>
      <c r="K2718" s="35"/>
      <c r="L2718" s="36"/>
      <c r="M2718" s="35">
        <v>1.29</v>
      </c>
      <c r="N2718" s="36"/>
      <c r="O2718" s="81" t="s">
        <v>1016</v>
      </c>
    </row>
    <row r="2719" spans="9:15" ht="12.75">
      <c r="I2719" s="82" t="s">
        <v>2281</v>
      </c>
      <c r="J2719" s="105"/>
      <c r="K2719" s="35"/>
      <c r="L2719" s="36"/>
      <c r="M2719" s="35">
        <v>1.45</v>
      </c>
      <c r="N2719" s="36"/>
      <c r="O2719" s="81" t="s">
        <v>1016</v>
      </c>
    </row>
    <row r="2720" spans="9:15" ht="12.75">
      <c r="I2720" s="82" t="s">
        <v>1838</v>
      </c>
      <c r="J2720" s="105"/>
      <c r="K2720" s="35"/>
      <c r="L2720" s="36"/>
      <c r="M2720" s="35">
        <v>1.49</v>
      </c>
      <c r="N2720" s="36"/>
      <c r="O2720" s="81" t="s">
        <v>1016</v>
      </c>
    </row>
    <row r="2721" spans="9:15" ht="12.75">
      <c r="I2721" s="82" t="s">
        <v>1235</v>
      </c>
      <c r="J2721" s="105"/>
      <c r="K2721" s="35"/>
      <c r="L2721" s="36"/>
      <c r="M2721" s="35">
        <v>2</v>
      </c>
      <c r="N2721" s="36"/>
      <c r="O2721" s="81" t="s">
        <v>1016</v>
      </c>
    </row>
    <row r="2722" spans="9:15" ht="12.75">
      <c r="I2722" s="37" t="s">
        <v>1299</v>
      </c>
      <c r="J2722" s="105"/>
      <c r="K2722" s="35"/>
      <c r="L2722" s="36"/>
      <c r="M2722" s="35">
        <v>3</v>
      </c>
      <c r="N2722" s="36"/>
      <c r="O2722" s="81">
        <v>2004</v>
      </c>
    </row>
    <row r="2723" spans="9:15" ht="12.75">
      <c r="I2723" s="37" t="s">
        <v>422</v>
      </c>
      <c r="J2723" s="105"/>
      <c r="K2723" s="35"/>
      <c r="L2723" s="83" t="s">
        <v>423</v>
      </c>
      <c r="M2723" s="25">
        <v>5.49</v>
      </c>
      <c r="N2723" s="36"/>
      <c r="O2723" s="81">
        <v>2004</v>
      </c>
    </row>
    <row r="2724" spans="9:15" ht="12.75">
      <c r="I2724" s="37"/>
      <c r="J2724" s="105"/>
      <c r="K2724" s="35"/>
      <c r="L2724" s="83"/>
      <c r="M2724" s="25"/>
      <c r="N2724" s="36"/>
      <c r="O2724" s="81"/>
    </row>
    <row r="2725" spans="9:15" ht="15.75">
      <c r="I2725" s="79" t="s">
        <v>580</v>
      </c>
      <c r="J2725" s="105"/>
      <c r="K2725" s="35"/>
      <c r="L2725" s="36"/>
      <c r="M2725" s="35"/>
      <c r="N2725" s="36"/>
      <c r="O2725" s="81"/>
    </row>
    <row r="2726" spans="9:15" ht="12.75">
      <c r="I2726" s="80" t="s">
        <v>1278</v>
      </c>
      <c r="J2726" s="105"/>
      <c r="K2726" s="35">
        <v>4</v>
      </c>
      <c r="L2726" s="36">
        <v>4</v>
      </c>
      <c r="M2726" s="35">
        <v>1</v>
      </c>
      <c r="N2726" s="36" t="s">
        <v>1362</v>
      </c>
      <c r="O2726" s="81" t="s">
        <v>2310</v>
      </c>
    </row>
    <row r="2727" spans="9:15" ht="12.75">
      <c r="I2727" s="82" t="s">
        <v>478</v>
      </c>
      <c r="J2727" s="105"/>
      <c r="K2727" s="35"/>
      <c r="L2727" s="36"/>
      <c r="M2727" s="35">
        <v>12.5</v>
      </c>
      <c r="N2727" s="36"/>
      <c r="O2727" s="81">
        <v>2004</v>
      </c>
    </row>
    <row r="2728" spans="9:15" ht="12.75">
      <c r="I2728" s="82" t="s">
        <v>1009</v>
      </c>
      <c r="J2728" s="105"/>
      <c r="K2728" s="35">
        <v>17</v>
      </c>
      <c r="L2728" s="36">
        <v>2</v>
      </c>
      <c r="M2728" s="35">
        <f>K2728/L2728</f>
        <v>8.5</v>
      </c>
      <c r="N2728" s="36"/>
      <c r="O2728" s="81">
        <v>2004</v>
      </c>
    </row>
    <row r="2729" spans="9:15" ht="12.75">
      <c r="I2729" s="82"/>
      <c r="J2729" s="105"/>
      <c r="K2729" s="35"/>
      <c r="L2729" s="36"/>
      <c r="M2729" s="35"/>
      <c r="N2729" s="36"/>
      <c r="O2729" s="81"/>
    </row>
    <row r="2730" spans="9:15" ht="15.75">
      <c r="I2730" s="79" t="s">
        <v>1898</v>
      </c>
      <c r="J2730" s="105"/>
      <c r="L2730" s="35" t="s">
        <v>2743</v>
      </c>
      <c r="M2730" s="35" t="s">
        <v>785</v>
      </c>
      <c r="N2730" s="36"/>
      <c r="O2730" s="81"/>
    </row>
    <row r="2731" spans="2:15" s="391" customFormat="1" ht="12.75">
      <c r="B2731" s="441"/>
      <c r="C2731" s="441"/>
      <c r="D2731" s="441"/>
      <c r="E2731" s="748"/>
      <c r="F2731" s="442"/>
      <c r="G2731" s="441"/>
      <c r="H2731" s="441"/>
      <c r="I2731" s="799" t="s">
        <v>379</v>
      </c>
      <c r="J2731" s="270"/>
      <c r="K2731" s="272">
        <v>1</v>
      </c>
      <c r="L2731" s="271">
        <v>4</v>
      </c>
      <c r="M2731" s="272">
        <f>K2731/L2731</f>
        <v>0.25</v>
      </c>
      <c r="N2731" s="800" t="s">
        <v>1776</v>
      </c>
      <c r="O2731" s="332" t="s">
        <v>1702</v>
      </c>
    </row>
    <row r="2732" spans="2:15" s="391" customFormat="1" ht="12.75">
      <c r="B2732" s="441"/>
      <c r="C2732" s="441"/>
      <c r="D2732" s="441"/>
      <c r="E2732" s="748"/>
      <c r="F2732" s="442"/>
      <c r="G2732" s="441"/>
      <c r="H2732" s="441"/>
      <c r="I2732" s="82" t="s">
        <v>1287</v>
      </c>
      <c r="J2732" s="105"/>
      <c r="K2732" s="35">
        <v>1</v>
      </c>
      <c r="L2732" s="36">
        <v>2</v>
      </c>
      <c r="M2732" s="35">
        <f>K2732/L2732</f>
        <v>0.5</v>
      </c>
      <c r="N2732" s="331"/>
      <c r="O2732" s="716" t="s">
        <v>1705</v>
      </c>
    </row>
    <row r="2733" spans="2:15" s="391" customFormat="1" ht="12.75">
      <c r="B2733" s="441"/>
      <c r="C2733" s="441"/>
      <c r="D2733" s="441"/>
      <c r="E2733" s="748"/>
      <c r="F2733" s="442"/>
      <c r="G2733" s="441"/>
      <c r="H2733" s="441"/>
      <c r="I2733" s="82" t="s">
        <v>1662</v>
      </c>
      <c r="J2733" s="105"/>
      <c r="K2733" s="35">
        <v>4.9</v>
      </c>
      <c r="L2733" s="36">
        <v>10</v>
      </c>
      <c r="M2733" s="35">
        <f>K2733/L2733</f>
        <v>0.49000000000000005</v>
      </c>
      <c r="N2733" s="331"/>
      <c r="O2733" s="716" t="s">
        <v>1705</v>
      </c>
    </row>
    <row r="2734" spans="9:15" ht="12.75">
      <c r="I2734" s="80" t="s">
        <v>2133</v>
      </c>
      <c r="J2734" s="105"/>
      <c r="K2734" s="35">
        <v>3.99</v>
      </c>
      <c r="L2734" s="36">
        <v>10</v>
      </c>
      <c r="M2734" s="35">
        <f>K2734/L2734</f>
        <v>0.399</v>
      </c>
      <c r="N2734" s="331"/>
      <c r="O2734" s="448" t="s">
        <v>1705</v>
      </c>
    </row>
    <row r="2735" spans="9:15" ht="12.75">
      <c r="I2735" s="109" t="s">
        <v>340</v>
      </c>
      <c r="J2735" s="120"/>
      <c r="K2735" s="22">
        <v>1</v>
      </c>
      <c r="L2735" s="23">
        <v>10</v>
      </c>
      <c r="M2735" s="22">
        <f>K2735/L2735</f>
        <v>0.1</v>
      </c>
      <c r="N2735" s="36" t="s">
        <v>2112</v>
      </c>
      <c r="O2735" s="81" t="s">
        <v>2208</v>
      </c>
    </row>
    <row r="2736" spans="9:15" ht="12.75">
      <c r="I2736" s="82"/>
      <c r="J2736" s="105"/>
      <c r="K2736" s="35"/>
      <c r="L2736" s="36"/>
      <c r="M2736" s="35"/>
      <c r="N2736" s="36"/>
      <c r="O2736" s="81"/>
    </row>
    <row r="2737" spans="9:15" ht="15.75">
      <c r="I2737" s="79" t="s">
        <v>1241</v>
      </c>
      <c r="J2737" s="105"/>
      <c r="K2737" s="35"/>
      <c r="L2737" s="36"/>
      <c r="M2737" s="35"/>
      <c r="N2737" s="36"/>
      <c r="O2737" s="81"/>
    </row>
    <row r="2738" spans="9:15" ht="12.75">
      <c r="I2738" s="82" t="s">
        <v>794</v>
      </c>
      <c r="J2738" s="105"/>
      <c r="K2738" s="35"/>
      <c r="L2738" s="36"/>
      <c r="M2738" s="35">
        <v>0.9</v>
      </c>
      <c r="N2738" s="36"/>
      <c r="O2738" s="81" t="s">
        <v>2083</v>
      </c>
    </row>
    <row r="2739" spans="9:15" ht="12.75">
      <c r="I2739" s="193" t="s">
        <v>2394</v>
      </c>
      <c r="J2739" s="105"/>
      <c r="K2739" s="35"/>
      <c r="L2739" s="36"/>
      <c r="M2739" s="35"/>
      <c r="N2739" s="83" t="s">
        <v>2644</v>
      </c>
      <c r="O2739" s="81"/>
    </row>
    <row r="2740" spans="9:15" ht="12.75">
      <c r="I2740" s="265" t="s">
        <v>1852</v>
      </c>
      <c r="J2740" s="159"/>
      <c r="K2740" s="592">
        <v>1</v>
      </c>
      <c r="L2740" s="225">
        <v>8</v>
      </c>
      <c r="M2740" s="592">
        <f>K2740/L2740</f>
        <v>0.125</v>
      </c>
      <c r="N2740" s="36"/>
      <c r="O2740" s="81" t="s">
        <v>2174</v>
      </c>
    </row>
    <row r="2741" spans="9:15" ht="12.75">
      <c r="I2741" s="82" t="s">
        <v>1761</v>
      </c>
      <c r="J2741" s="105"/>
      <c r="K2741" s="35"/>
      <c r="L2741" s="36"/>
      <c r="M2741" s="35">
        <v>3.99</v>
      </c>
      <c r="N2741" s="36"/>
      <c r="O2741" s="81" t="s">
        <v>2526</v>
      </c>
    </row>
    <row r="2742" spans="9:15" ht="12.75">
      <c r="I2742" s="71" t="s">
        <v>1761</v>
      </c>
      <c r="J2742" s="96"/>
      <c r="K2742" s="29"/>
      <c r="L2742" s="30"/>
      <c r="M2742" s="29">
        <v>0.49</v>
      </c>
      <c r="N2742" s="36" t="s">
        <v>2112</v>
      </c>
      <c r="O2742" s="81" t="s">
        <v>1016</v>
      </c>
    </row>
    <row r="2743" spans="9:15" ht="12.75">
      <c r="I2743" s="82" t="s">
        <v>1242</v>
      </c>
      <c r="J2743" s="105"/>
      <c r="K2743" s="35"/>
      <c r="L2743" s="36"/>
      <c r="M2743" s="35">
        <v>5.7</v>
      </c>
      <c r="N2743" s="36" t="s">
        <v>1006</v>
      </c>
      <c r="O2743" s="81">
        <v>2004</v>
      </c>
    </row>
    <row r="2744" spans="9:15" ht="12.75">
      <c r="I2744" s="82" t="s">
        <v>677</v>
      </c>
      <c r="J2744" s="105"/>
      <c r="K2744" s="35">
        <v>0.99</v>
      </c>
      <c r="L2744" s="36">
        <v>5</v>
      </c>
      <c r="M2744" s="35">
        <f>K2744/L2744</f>
        <v>0.198</v>
      </c>
      <c r="N2744" s="36"/>
      <c r="O2744" s="81" t="s">
        <v>1016</v>
      </c>
    </row>
    <row r="2745" spans="9:15" ht="12.75">
      <c r="I2745" s="82"/>
      <c r="J2745" s="105"/>
      <c r="K2745" s="35"/>
      <c r="L2745" s="36"/>
      <c r="M2745" s="35"/>
      <c r="N2745" s="36"/>
      <c r="O2745" s="81"/>
    </row>
    <row r="2746" spans="9:15" ht="18">
      <c r="I2746" s="1136" t="s">
        <v>2915</v>
      </c>
      <c r="J2746" s="105"/>
      <c r="K2746" s="351" t="s">
        <v>374</v>
      </c>
      <c r="L2746" s="81" t="s">
        <v>2262</v>
      </c>
      <c r="M2746" s="106" t="s">
        <v>2696</v>
      </c>
      <c r="N2746" s="36"/>
      <c r="O2746" s="81"/>
    </row>
    <row r="2747" spans="9:15" ht="12.75">
      <c r="I2747" s="15" t="s">
        <v>42</v>
      </c>
      <c r="J2747" s="55"/>
      <c r="K2747" s="929">
        <f>M2747/L2747*100</f>
        <v>5.833333333333333</v>
      </c>
      <c r="L2747" s="128">
        <v>20</v>
      </c>
      <c r="M2747" s="129">
        <f>7/6</f>
        <v>1.1666666666666667</v>
      </c>
      <c r="O2747" s="125" t="s">
        <v>43</v>
      </c>
    </row>
    <row r="2748" spans="9:15" ht="12.75">
      <c r="I2748" s="15" t="s">
        <v>3004</v>
      </c>
      <c r="J2748" s="55"/>
      <c r="K2748" s="929">
        <f>M2748/L2748*100</f>
        <v>6</v>
      </c>
      <c r="L2748" s="128">
        <v>20</v>
      </c>
      <c r="M2748" s="129">
        <v>1.2</v>
      </c>
      <c r="O2748" s="125" t="s">
        <v>2468</v>
      </c>
    </row>
    <row r="2749" spans="9:15" ht="12.75">
      <c r="I2749" s="15" t="s">
        <v>2113</v>
      </c>
      <c r="J2749" s="55"/>
      <c r="K2749" s="929">
        <f>M2749/L2749*100</f>
        <v>4.583333333333333</v>
      </c>
      <c r="L2749" s="128">
        <v>120</v>
      </c>
      <c r="M2749" s="129">
        <v>5.5</v>
      </c>
      <c r="O2749" s="125" t="s">
        <v>583</v>
      </c>
    </row>
    <row r="2750" spans="9:15" ht="12.75">
      <c r="I2750" s="15" t="s">
        <v>2873</v>
      </c>
      <c r="J2750" s="55"/>
      <c r="K2750" s="929">
        <f>M2750/L2750*100</f>
        <v>4.583333333333333</v>
      </c>
      <c r="L2750" s="128">
        <v>120</v>
      </c>
      <c r="M2750" s="129">
        <v>5.5</v>
      </c>
      <c r="O2750" s="125" t="s">
        <v>2066</v>
      </c>
    </row>
    <row r="2751" spans="9:15" ht="12.75">
      <c r="I2751" s="15" t="s">
        <v>3003</v>
      </c>
      <c r="J2751" s="55"/>
      <c r="K2751" s="929">
        <f>M2751/L2751*100</f>
        <v>6</v>
      </c>
      <c r="L2751" s="128">
        <v>20</v>
      </c>
      <c r="M2751" s="129">
        <v>1.2</v>
      </c>
      <c r="O2751" s="125" t="s">
        <v>2468</v>
      </c>
    </row>
    <row r="2752" spans="9:15" ht="12.75">
      <c r="I2752" s="147" t="s">
        <v>1633</v>
      </c>
      <c r="J2752" s="162"/>
      <c r="K2752" s="1134">
        <f aca="true" t="shared" si="210" ref="K2752:K2757">M2752/L2752*100</f>
        <v>6.315789473684211</v>
      </c>
      <c r="L2752" s="680">
        <v>19</v>
      </c>
      <c r="M2752" s="721">
        <v>1.2</v>
      </c>
      <c r="O2752" s="125" t="s">
        <v>2065</v>
      </c>
    </row>
    <row r="2753" spans="9:15" ht="12.75">
      <c r="I2753" s="147" t="s">
        <v>381</v>
      </c>
      <c r="J2753" s="162"/>
      <c r="K2753" s="1134">
        <f t="shared" si="210"/>
        <v>6</v>
      </c>
      <c r="L2753" s="680">
        <v>20</v>
      </c>
      <c r="M2753" s="721">
        <v>1.2</v>
      </c>
      <c r="O2753" s="125" t="s">
        <v>2434</v>
      </c>
    </row>
    <row r="2754" spans="9:15" ht="12.75">
      <c r="I2754" s="147" t="s">
        <v>332</v>
      </c>
      <c r="J2754" s="162"/>
      <c r="K2754" s="1134">
        <f t="shared" si="210"/>
        <v>5.714285714285714</v>
      </c>
      <c r="L2754" s="680">
        <v>21</v>
      </c>
      <c r="M2754" s="721">
        <v>1.2</v>
      </c>
      <c r="O2754" s="125" t="s">
        <v>2434</v>
      </c>
    </row>
    <row r="2755" spans="9:15" ht="12.75">
      <c r="I2755" s="15" t="s">
        <v>1794</v>
      </c>
      <c r="J2755" s="55"/>
      <c r="K2755" s="929">
        <f t="shared" si="210"/>
        <v>6</v>
      </c>
      <c r="L2755" s="128">
        <v>20</v>
      </c>
      <c r="M2755" s="129">
        <v>1.2</v>
      </c>
      <c r="O2755" s="125" t="s">
        <v>2065</v>
      </c>
    </row>
    <row r="2756" spans="9:15" ht="12.75">
      <c r="I2756" s="15" t="s">
        <v>2978</v>
      </c>
      <c r="J2756" s="55"/>
      <c r="K2756" s="1105">
        <f t="shared" si="210"/>
        <v>8.571428571428571</v>
      </c>
      <c r="L2756" s="128">
        <v>14</v>
      </c>
      <c r="M2756" s="129">
        <v>1.2</v>
      </c>
      <c r="O2756" s="125" t="s">
        <v>2434</v>
      </c>
    </row>
    <row r="2757" spans="9:15" ht="12.75">
      <c r="I2757" s="986" t="s">
        <v>2977</v>
      </c>
      <c r="J2757" s="326"/>
      <c r="K2757" s="1106">
        <f t="shared" si="210"/>
        <v>8.571428571428571</v>
      </c>
      <c r="L2757" s="1104">
        <v>14</v>
      </c>
      <c r="M2757" s="987">
        <v>1.2</v>
      </c>
      <c r="O2757" s="125" t="s">
        <v>2434</v>
      </c>
    </row>
    <row r="2758" spans="9:15" ht="12.75">
      <c r="I2758" s="147" t="s">
        <v>736</v>
      </c>
      <c r="J2758" s="162"/>
      <c r="K2758" s="1098">
        <f aca="true" t="shared" si="211" ref="K2758:K2765">M2758/L2758*100</f>
        <v>5</v>
      </c>
      <c r="L2758" s="149">
        <v>20</v>
      </c>
      <c r="M2758" s="721">
        <v>1</v>
      </c>
      <c r="N2758" s="23"/>
      <c r="O2758" s="81" t="s">
        <v>776</v>
      </c>
    </row>
    <row r="2759" spans="9:15" ht="12.75">
      <c r="I2759" s="147" t="s">
        <v>846</v>
      </c>
      <c r="J2759" s="162"/>
      <c r="K2759" s="1098">
        <f t="shared" si="211"/>
        <v>5</v>
      </c>
      <c r="L2759" s="149">
        <v>20</v>
      </c>
      <c r="M2759" s="721">
        <v>1</v>
      </c>
      <c r="N2759" s="23"/>
      <c r="O2759" s="81" t="s">
        <v>776</v>
      </c>
    </row>
    <row r="2760" spans="9:15" ht="12.75">
      <c r="I2760" s="1099" t="s">
        <v>737</v>
      </c>
      <c r="J2760" s="1100"/>
      <c r="K2760" s="1101">
        <f t="shared" si="211"/>
        <v>5</v>
      </c>
      <c r="L2760" s="1102">
        <v>20</v>
      </c>
      <c r="M2760" s="1103">
        <v>1</v>
      </c>
      <c r="N2760" s="423" t="s">
        <v>845</v>
      </c>
      <c r="O2760" s="81" t="s">
        <v>1742</v>
      </c>
    </row>
    <row r="2761" spans="9:15" ht="12.75">
      <c r="I2761" s="15" t="s">
        <v>2118</v>
      </c>
      <c r="J2761" s="55"/>
      <c r="K2761" s="929">
        <f>M2761/L2761*100</f>
        <v>6.2857142857142865</v>
      </c>
      <c r="L2761" s="128">
        <v>35</v>
      </c>
      <c r="M2761" s="129">
        <v>2.2</v>
      </c>
      <c r="O2761" s="125" t="s">
        <v>1669</v>
      </c>
    </row>
    <row r="2762" spans="9:15" ht="12.75">
      <c r="I2762" s="15" t="s">
        <v>1765</v>
      </c>
      <c r="J2762" s="55"/>
      <c r="K2762" s="929">
        <f t="shared" si="211"/>
        <v>5.454545454545454</v>
      </c>
      <c r="L2762" s="128">
        <v>22</v>
      </c>
      <c r="M2762" s="129">
        <v>1.2</v>
      </c>
      <c r="O2762" s="125" t="s">
        <v>2170</v>
      </c>
    </row>
    <row r="2763" spans="9:15" ht="12.75">
      <c r="I2763" s="15" t="s">
        <v>1085</v>
      </c>
      <c r="J2763" s="55"/>
      <c r="K2763" s="929">
        <f t="shared" si="211"/>
        <v>6.666666666666667</v>
      </c>
      <c r="L2763" s="128">
        <v>18</v>
      </c>
      <c r="M2763" s="129">
        <v>1.2</v>
      </c>
      <c r="O2763" s="125" t="s">
        <v>2463</v>
      </c>
    </row>
    <row r="2764" spans="9:15" ht="12.75">
      <c r="I2764" s="15" t="s">
        <v>547</v>
      </c>
      <c r="J2764" s="55"/>
      <c r="K2764" s="929">
        <f t="shared" si="211"/>
        <v>6.111111111111112</v>
      </c>
      <c r="L2764" s="128">
        <v>18</v>
      </c>
      <c r="M2764" s="129">
        <v>1.1</v>
      </c>
      <c r="O2764" s="125" t="s">
        <v>2463</v>
      </c>
    </row>
    <row r="2765" spans="9:15" ht="12.75">
      <c r="I2765" s="15" t="s">
        <v>1558</v>
      </c>
      <c r="J2765" s="55"/>
      <c r="K2765" s="929">
        <f t="shared" si="211"/>
        <v>6.666666666666667</v>
      </c>
      <c r="L2765" s="128">
        <v>18</v>
      </c>
      <c r="M2765" s="129">
        <v>1.2</v>
      </c>
      <c r="O2765" s="125" t="s">
        <v>1792</v>
      </c>
    </row>
    <row r="2766" spans="9:15" ht="12.75">
      <c r="I2766" s="109" t="s">
        <v>429</v>
      </c>
      <c r="J2766" s="120"/>
      <c r="K2766" s="22"/>
      <c r="L2766" s="23"/>
      <c r="M2766" s="22">
        <v>1</v>
      </c>
      <c r="N2766" s="36"/>
      <c r="O2766" s="81" t="s">
        <v>1910</v>
      </c>
    </row>
    <row r="2767" spans="9:15" ht="12.75">
      <c r="I2767" s="86" t="s">
        <v>1878</v>
      </c>
      <c r="J2767" s="105"/>
      <c r="K2767" s="917">
        <f>M2767/L2767*100</f>
        <v>13</v>
      </c>
      <c r="L2767" s="30">
        <v>10</v>
      </c>
      <c r="M2767" s="592">
        <v>1.3</v>
      </c>
      <c r="N2767" s="36"/>
      <c r="O2767" s="81" t="s">
        <v>1705</v>
      </c>
    </row>
    <row r="2768" spans="9:15" ht="12.75">
      <c r="I2768" s="71" t="s">
        <v>1149</v>
      </c>
      <c r="J2768" s="96"/>
      <c r="K2768" s="917">
        <f>M2768/L2768*100</f>
        <v>3.95</v>
      </c>
      <c r="L2768" s="30">
        <v>20</v>
      </c>
      <c r="M2768" s="116">
        <v>0.79</v>
      </c>
      <c r="N2768" s="36"/>
      <c r="O2768" s="81" t="s">
        <v>662</v>
      </c>
    </row>
    <row r="2769" spans="9:15" ht="12.75">
      <c r="I2769" s="80" t="s">
        <v>1807</v>
      </c>
      <c r="J2769" s="105"/>
      <c r="K2769" s="917"/>
      <c r="L2769" s="20" t="s">
        <v>1712</v>
      </c>
      <c r="M2769" s="35" t="s">
        <v>2005</v>
      </c>
      <c r="N2769" s="36"/>
      <c r="O2769" s="81"/>
    </row>
    <row r="2770" spans="9:15" ht="12.75">
      <c r="I2770" s="109" t="s">
        <v>2169</v>
      </c>
      <c r="J2770" s="120"/>
      <c r="K2770" s="918">
        <f aca="true" t="shared" si="212" ref="K2770:K2776">M2770/L2770*100</f>
        <v>5</v>
      </c>
      <c r="L2770" s="23">
        <v>20</v>
      </c>
      <c r="M2770" s="774">
        <v>1</v>
      </c>
      <c r="N2770" s="36"/>
      <c r="O2770" s="81" t="s">
        <v>1539</v>
      </c>
    </row>
    <row r="2771" spans="9:15" ht="12.75">
      <c r="I2771" s="21" t="s">
        <v>592</v>
      </c>
      <c r="J2771" s="120"/>
      <c r="K2771" s="918">
        <f t="shared" si="212"/>
        <v>6.999999999999999</v>
      </c>
      <c r="L2771" s="23">
        <v>20</v>
      </c>
      <c r="M2771" s="22">
        <v>1.4</v>
      </c>
      <c r="N2771" s="36"/>
      <c r="O2771" s="81" t="s">
        <v>2310</v>
      </c>
    </row>
    <row r="2772" spans="9:15" ht="12.75">
      <c r="I2772" s="21" t="s">
        <v>965</v>
      </c>
      <c r="J2772" s="120"/>
      <c r="K2772" s="918">
        <f t="shared" si="212"/>
        <v>6.999999999999999</v>
      </c>
      <c r="L2772" s="23">
        <v>20</v>
      </c>
      <c r="M2772" s="22">
        <v>1.4</v>
      </c>
      <c r="N2772" s="36"/>
      <c r="O2772" s="81" t="s">
        <v>2570</v>
      </c>
    </row>
    <row r="2773" spans="9:15" ht="12.75">
      <c r="I2773" s="109" t="s">
        <v>1653</v>
      </c>
      <c r="J2773" s="120"/>
      <c r="K2773" s="918">
        <f t="shared" si="212"/>
        <v>5.500000000000001</v>
      </c>
      <c r="L2773" s="23">
        <v>40</v>
      </c>
      <c r="M2773" s="774">
        <v>2.2</v>
      </c>
      <c r="N2773" s="395" t="s">
        <v>2306</v>
      </c>
      <c r="O2773" s="51" t="s">
        <v>2174</v>
      </c>
    </row>
    <row r="2774" spans="9:15" ht="12.75">
      <c r="I2774" s="40" t="s">
        <v>1412</v>
      </c>
      <c r="J2774" s="96"/>
      <c r="K2774" s="916">
        <f t="shared" si="212"/>
        <v>11.000000000000002</v>
      </c>
      <c r="L2774" s="33">
        <v>20</v>
      </c>
      <c r="M2774" s="32">
        <v>2.2</v>
      </c>
      <c r="O2774" s="125" t="s">
        <v>3065</v>
      </c>
    </row>
    <row r="2775" spans="9:15" ht="12.75">
      <c r="I2775" s="40" t="s">
        <v>421</v>
      </c>
      <c r="J2775" s="96"/>
      <c r="K2775" s="916">
        <f t="shared" si="212"/>
        <v>10.714285714285714</v>
      </c>
      <c r="L2775" s="33">
        <v>14</v>
      </c>
      <c r="M2775" s="32">
        <v>1.5</v>
      </c>
      <c r="O2775" s="125" t="s">
        <v>3065</v>
      </c>
    </row>
    <row r="2776" spans="9:15" ht="12.75">
      <c r="I2776" s="40" t="s">
        <v>1411</v>
      </c>
      <c r="J2776" s="96"/>
      <c r="K2776" s="916">
        <f t="shared" si="212"/>
        <v>10.714285714285714</v>
      </c>
      <c r="L2776" s="33">
        <v>14</v>
      </c>
      <c r="M2776" s="32">
        <v>1.5</v>
      </c>
      <c r="O2776" s="125" t="s">
        <v>3065</v>
      </c>
    </row>
    <row r="2777" spans="9:15" ht="12.75">
      <c r="I2777" s="28" t="s">
        <v>1744</v>
      </c>
      <c r="J2777" s="96"/>
      <c r="K2777" s="917">
        <f aca="true" t="shared" si="213" ref="K2777:K2784">M2777/L2777*100</f>
        <v>10</v>
      </c>
      <c r="L2777" s="30">
        <v>20</v>
      </c>
      <c r="M2777" s="116">
        <v>2</v>
      </c>
      <c r="O2777" s="81" t="s">
        <v>1539</v>
      </c>
    </row>
    <row r="2778" spans="9:15" ht="12.75">
      <c r="I2778" s="28" t="s">
        <v>1434</v>
      </c>
      <c r="J2778" s="96"/>
      <c r="K2778" s="917">
        <f>M2778/L2778*100</f>
        <v>12.000000000000002</v>
      </c>
      <c r="L2778" s="30">
        <v>15</v>
      </c>
      <c r="M2778" s="116">
        <v>1.8</v>
      </c>
      <c r="O2778" s="81" t="s">
        <v>1038</v>
      </c>
    </row>
    <row r="2779" spans="9:15" ht="12.75">
      <c r="I2779" s="43" t="s">
        <v>837</v>
      </c>
      <c r="J2779" s="105"/>
      <c r="K2779" s="919"/>
      <c r="L2779" s="26">
        <v>15</v>
      </c>
      <c r="M2779" s="25"/>
      <c r="O2779" s="51" t="s">
        <v>2174</v>
      </c>
    </row>
    <row r="2780" spans="9:15" ht="12.75">
      <c r="I2780" s="43" t="s">
        <v>1527</v>
      </c>
      <c r="J2780" s="105"/>
      <c r="K2780" s="919">
        <f>M2780/L2780*100</f>
        <v>14.666666666666666</v>
      </c>
      <c r="L2780" s="26">
        <v>15</v>
      </c>
      <c r="M2780" s="25">
        <v>2.2</v>
      </c>
      <c r="O2780" s="51" t="s">
        <v>2174</v>
      </c>
    </row>
    <row r="2781" spans="9:15" ht="12.75">
      <c r="I2781" s="109" t="s">
        <v>1570</v>
      </c>
      <c r="J2781" s="920"/>
      <c r="K2781" s="921">
        <f t="shared" si="213"/>
        <v>6.25</v>
      </c>
      <c r="L2781" s="922">
        <v>40</v>
      </c>
      <c r="M2781" s="774">
        <v>2.5</v>
      </c>
      <c r="N2781" s="489"/>
      <c r="O2781" s="125" t="s">
        <v>2174</v>
      </c>
    </row>
    <row r="2782" spans="9:15" ht="12.75">
      <c r="I2782" s="109" t="s">
        <v>2004</v>
      </c>
      <c r="J2782" s="120"/>
      <c r="K2782" s="918">
        <f t="shared" si="213"/>
        <v>3.225</v>
      </c>
      <c r="L2782" s="23">
        <v>40</v>
      </c>
      <c r="M2782" s="22">
        <v>1.29</v>
      </c>
      <c r="N2782" s="149" t="s">
        <v>1184</v>
      </c>
      <c r="O2782" s="81" t="s">
        <v>2213</v>
      </c>
    </row>
    <row r="2783" spans="9:15" ht="12.75">
      <c r="I2783" s="109" t="s">
        <v>69</v>
      </c>
      <c r="J2783" s="120"/>
      <c r="K2783" s="918">
        <f t="shared" si="213"/>
        <v>1.2857142857142856</v>
      </c>
      <c r="L2783" s="23">
        <v>140</v>
      </c>
      <c r="M2783" s="22">
        <v>1.8</v>
      </c>
      <c r="N2783" s="36"/>
      <c r="O2783" s="81" t="s">
        <v>581</v>
      </c>
    </row>
    <row r="2784" spans="9:15" ht="12.75">
      <c r="I2784" s="21" t="s">
        <v>1279</v>
      </c>
      <c r="J2784" s="120"/>
      <c r="K2784" s="918">
        <f t="shared" si="213"/>
        <v>5.6</v>
      </c>
      <c r="L2784" s="23">
        <v>25</v>
      </c>
      <c r="M2784" s="22">
        <v>1.4</v>
      </c>
      <c r="N2784" s="36"/>
      <c r="O2784" s="81" t="s">
        <v>1539</v>
      </c>
    </row>
    <row r="2785" spans="9:15" ht="12.75">
      <c r="I2785" s="109" t="s">
        <v>251</v>
      </c>
      <c r="J2785" s="120"/>
      <c r="K2785" s="918"/>
      <c r="L2785" s="23">
        <v>20</v>
      </c>
      <c r="M2785" s="22">
        <v>0.5</v>
      </c>
      <c r="N2785" s="254"/>
      <c r="O2785" s="81" t="s">
        <v>252</v>
      </c>
    </row>
    <row r="2786" spans="9:15" ht="12.75">
      <c r="I2786" s="109" t="s">
        <v>88</v>
      </c>
      <c r="J2786" s="120"/>
      <c r="K2786" s="918"/>
      <c r="L2786" s="23">
        <v>20</v>
      </c>
      <c r="M2786" s="22">
        <v>1</v>
      </c>
      <c r="N2786" s="254"/>
      <c r="O2786" s="81" t="s">
        <v>1038</v>
      </c>
    </row>
    <row r="2787" spans="9:15" ht="12.75">
      <c r="I2787" s="109" t="s">
        <v>251</v>
      </c>
      <c r="J2787" s="120"/>
      <c r="K2787" s="918"/>
      <c r="L2787" s="23">
        <v>20</v>
      </c>
      <c r="M2787" s="22">
        <v>1.4</v>
      </c>
      <c r="N2787" s="254"/>
      <c r="O2787" s="81" t="s">
        <v>1539</v>
      </c>
    </row>
    <row r="2788" spans="9:15" ht="12.75">
      <c r="I2788" s="109" t="s">
        <v>1173</v>
      </c>
      <c r="J2788" s="120"/>
      <c r="K2788" s="918"/>
      <c r="L2788" s="23">
        <v>15</v>
      </c>
      <c r="M2788" s="22">
        <v>0.7</v>
      </c>
      <c r="N2788" s="254"/>
      <c r="O2788" s="81" t="s">
        <v>252</v>
      </c>
    </row>
    <row r="2789" spans="9:15" ht="12.75">
      <c r="I2789" s="109" t="s">
        <v>1182</v>
      </c>
      <c r="J2789" s="120"/>
      <c r="K2789" s="22"/>
      <c r="L2789" s="23">
        <v>20</v>
      </c>
      <c r="M2789" s="22">
        <v>0.7</v>
      </c>
      <c r="N2789" s="254"/>
      <c r="O2789" s="81" t="s">
        <v>408</v>
      </c>
    </row>
    <row r="2790" spans="2:15" s="5" customFormat="1" ht="12.75">
      <c r="B2790" s="195"/>
      <c r="C2790" s="195"/>
      <c r="D2790" s="195"/>
      <c r="E2790" s="732"/>
      <c r="F2790" s="198"/>
      <c r="G2790" s="195"/>
      <c r="H2790" s="195"/>
      <c r="I2790" s="105" t="s">
        <v>2271</v>
      </c>
      <c r="J2790" s="105"/>
      <c r="K2790" s="35">
        <v>21</v>
      </c>
      <c r="L2790" s="35">
        <v>12</v>
      </c>
      <c r="M2790" s="35">
        <f>K2790/L2790</f>
        <v>1.75</v>
      </c>
      <c r="N2790" s="110" t="s">
        <v>741</v>
      </c>
      <c r="O2790" s="106" t="s">
        <v>1531</v>
      </c>
    </row>
    <row r="2791" spans="9:15" ht="12.75">
      <c r="I2791" s="82" t="s">
        <v>2271</v>
      </c>
      <c r="J2791" s="105"/>
      <c r="K2791" s="35"/>
      <c r="L2791" s="36"/>
      <c r="M2791" s="35">
        <v>2</v>
      </c>
      <c r="N2791" s="36" t="s">
        <v>1098</v>
      </c>
      <c r="O2791" s="81" t="s">
        <v>1531</v>
      </c>
    </row>
    <row r="2792" spans="9:15" ht="12.75">
      <c r="I2792" s="82"/>
      <c r="J2792" s="105"/>
      <c r="K2792" s="35"/>
      <c r="L2792" s="36"/>
      <c r="M2792" s="35"/>
      <c r="N2792" s="36"/>
      <c r="O2792" s="81"/>
    </row>
    <row r="2793" spans="9:15" ht="15.75">
      <c r="I2793" s="79" t="s">
        <v>2516</v>
      </c>
      <c r="J2793" s="105"/>
      <c r="K2793" s="83" t="s">
        <v>46</v>
      </c>
      <c r="L2793" s="36"/>
      <c r="M2793" s="35"/>
      <c r="N2793" s="36"/>
      <c r="O2793" s="81"/>
    </row>
    <row r="2794" spans="9:15" ht="12.75">
      <c r="I2794" s="1009" t="s">
        <v>1096</v>
      </c>
      <c r="J2794" s="1009"/>
      <c r="K2794" s="852">
        <v>0.99</v>
      </c>
      <c r="L2794" s="36"/>
      <c r="M2794" s="35"/>
      <c r="N2794" s="36"/>
      <c r="O2794" s="81" t="s">
        <v>385</v>
      </c>
    </row>
    <row r="2795" spans="9:15" ht="12.75">
      <c r="I2795" s="105" t="s">
        <v>897</v>
      </c>
      <c r="J2795" s="105"/>
      <c r="K2795" s="35">
        <v>1.99</v>
      </c>
      <c r="L2795" s="36"/>
      <c r="M2795" s="35"/>
      <c r="N2795" s="36"/>
      <c r="O2795" s="81" t="s">
        <v>1910</v>
      </c>
    </row>
    <row r="2796" spans="9:15" ht="12.75">
      <c r="I2796" s="120" t="s">
        <v>2331</v>
      </c>
      <c r="J2796" s="120"/>
      <c r="K2796" s="22">
        <v>1.15</v>
      </c>
      <c r="L2796" s="36"/>
      <c r="M2796" s="35"/>
      <c r="N2796" s="36"/>
      <c r="O2796" s="81" t="s">
        <v>608</v>
      </c>
    </row>
    <row r="2797" spans="9:15" ht="12.75">
      <c r="I2797" s="96" t="s">
        <v>407</v>
      </c>
      <c r="J2797" s="96"/>
      <c r="K2797" s="29">
        <v>1.5</v>
      </c>
      <c r="L2797" s="36"/>
      <c r="M2797" s="35"/>
      <c r="N2797" s="36"/>
      <c r="O2797" s="81" t="s">
        <v>1762</v>
      </c>
    </row>
    <row r="2798" spans="2:15" s="315" customFormat="1" ht="12.75">
      <c r="B2798" s="356"/>
      <c r="C2798" s="356"/>
      <c r="D2798" s="356"/>
      <c r="E2798" s="745"/>
      <c r="F2798" s="357"/>
      <c r="G2798" s="356"/>
      <c r="H2798" s="356"/>
      <c r="I2798" s="313" t="s">
        <v>1005</v>
      </c>
      <c r="J2798" s="404">
        <v>1.5</v>
      </c>
      <c r="K2798" s="314">
        <f>J2798*0.97</f>
        <v>1.455</v>
      </c>
      <c r="M2798" s="314"/>
      <c r="O2798" s="555" t="s">
        <v>608</v>
      </c>
    </row>
    <row r="2799" spans="9:15" ht="12.75">
      <c r="I2799" s="105"/>
      <c r="J2799" s="105"/>
      <c r="K2799" s="35"/>
      <c r="L2799" s="36"/>
      <c r="M2799" s="35"/>
      <c r="N2799" s="36"/>
      <c r="O2799" s="81"/>
    </row>
    <row r="2800" spans="9:15" ht="12.75">
      <c r="I2800" s="105"/>
      <c r="J2800" s="105"/>
      <c r="K2800" s="35"/>
      <c r="L2800" s="36"/>
      <c r="M2800" s="35"/>
      <c r="N2800" s="36"/>
      <c r="O2800" s="81"/>
    </row>
    <row r="2801" spans="9:15" ht="15">
      <c r="I2801" s="172" t="s">
        <v>217</v>
      </c>
      <c r="J2801" s="105"/>
      <c r="K2801" s="35"/>
      <c r="L2801" s="36"/>
      <c r="M2801" s="351" t="s">
        <v>311</v>
      </c>
      <c r="N2801" s="36"/>
      <c r="O2801" s="81"/>
    </row>
    <row r="2802" spans="9:15" ht="12.75">
      <c r="I2802" s="105" t="s">
        <v>2593</v>
      </c>
      <c r="J2802" s="105"/>
      <c r="K2802" s="35">
        <v>2.5</v>
      </c>
      <c r="L2802" s="36">
        <v>175</v>
      </c>
      <c r="M2802" s="35">
        <f>K2802/L2802*1000</f>
        <v>14.285714285714285</v>
      </c>
      <c r="N2802" s="36"/>
      <c r="O2802" s="51" t="s">
        <v>2877</v>
      </c>
    </row>
    <row r="2803" spans="9:15" ht="15">
      <c r="I2803" s="172" t="s">
        <v>1655</v>
      </c>
      <c r="J2803" s="105"/>
      <c r="K2803" s="35"/>
      <c r="L2803" s="36"/>
      <c r="M2803" s="35"/>
      <c r="N2803" s="36"/>
      <c r="O2803" s="51"/>
    </row>
    <row r="2804" spans="9:15" ht="12.75">
      <c r="I2804" s="105" t="s">
        <v>1656</v>
      </c>
      <c r="J2804" s="105"/>
      <c r="K2804" s="35">
        <v>51</v>
      </c>
      <c r="L2804" s="36">
        <v>36</v>
      </c>
      <c r="M2804" s="35">
        <f>K2804/L2804</f>
        <v>1.4166666666666667</v>
      </c>
      <c r="N2804" s="36"/>
      <c r="O2804" s="51" t="s">
        <v>2384</v>
      </c>
    </row>
    <row r="2805" spans="9:15" ht="12.75">
      <c r="I2805" s="105" t="s">
        <v>930</v>
      </c>
      <c r="J2805" s="105"/>
      <c r="K2805" s="35"/>
      <c r="L2805" s="36"/>
      <c r="M2805" s="35">
        <v>1.95</v>
      </c>
      <c r="N2805" s="36"/>
      <c r="O2805" s="51" t="s">
        <v>2384</v>
      </c>
    </row>
    <row r="2806" spans="9:15" ht="12.75">
      <c r="I2806" s="82"/>
      <c r="J2806" s="105"/>
      <c r="K2806" s="35"/>
      <c r="L2806" s="36"/>
      <c r="M2806" s="35"/>
      <c r="N2806" s="36"/>
      <c r="O2806" s="81"/>
    </row>
    <row r="2807" spans="9:15" ht="15.75">
      <c r="I2807" s="79" t="s">
        <v>1097</v>
      </c>
      <c r="J2807" s="105"/>
      <c r="K2807" s="35"/>
      <c r="L2807" s="81" t="s">
        <v>2743</v>
      </c>
      <c r="M2807" s="351" t="s">
        <v>884</v>
      </c>
      <c r="N2807" s="36"/>
      <c r="O2807" s="81"/>
    </row>
    <row r="2808" spans="9:15" ht="12.75">
      <c r="I2808" s="82" t="s">
        <v>672</v>
      </c>
      <c r="J2808" s="105"/>
      <c r="K2808" s="35">
        <v>6.99</v>
      </c>
      <c r="L2808" s="36">
        <v>10</v>
      </c>
      <c r="M2808" s="35">
        <f>K2808/L2808</f>
        <v>0.6990000000000001</v>
      </c>
      <c r="N2808" s="36"/>
      <c r="O2808" s="81" t="s">
        <v>1930</v>
      </c>
    </row>
    <row r="2809" spans="9:15" ht="12.75">
      <c r="I2809" s="105" t="s">
        <v>372</v>
      </c>
      <c r="J2809" s="105"/>
      <c r="K2809" s="35">
        <v>5.95</v>
      </c>
      <c r="L2809" s="36">
        <v>10</v>
      </c>
      <c r="M2809" s="35">
        <f>K2809/L2809</f>
        <v>0.595</v>
      </c>
      <c r="N2809" s="36"/>
      <c r="O2809" s="81" t="s">
        <v>1930</v>
      </c>
    </row>
    <row r="2810" spans="9:15" ht="12.75">
      <c r="I2810" s="82"/>
      <c r="J2810" s="105"/>
      <c r="K2810" s="35"/>
      <c r="L2810" s="36"/>
      <c r="M2810" s="35"/>
      <c r="N2810" s="36"/>
      <c r="O2810" s="81"/>
    </row>
    <row r="2811" spans="9:15" ht="15.75">
      <c r="I2811" s="79" t="s">
        <v>742</v>
      </c>
      <c r="J2811" s="105"/>
      <c r="K2811" s="35"/>
      <c r="L2811" s="81" t="s">
        <v>2737</v>
      </c>
      <c r="M2811" s="351" t="s">
        <v>2029</v>
      </c>
      <c r="N2811" s="36"/>
      <c r="O2811" s="81"/>
    </row>
    <row r="2812" spans="9:15" ht="12.75">
      <c r="I2812" s="80" t="s">
        <v>743</v>
      </c>
      <c r="J2812" s="105"/>
      <c r="K2812" s="35">
        <v>0.85</v>
      </c>
      <c r="L2812" s="36">
        <v>125</v>
      </c>
      <c r="M2812" s="35">
        <f>K2812/L2812*100</f>
        <v>0.6799999999999999</v>
      </c>
      <c r="N2812" s="36"/>
      <c r="O2812" s="81" t="s">
        <v>1030</v>
      </c>
    </row>
    <row r="2813" spans="9:15" ht="12.75">
      <c r="I2813" s="86" t="s">
        <v>1032</v>
      </c>
      <c r="J2813" s="105"/>
      <c r="K2813" s="25">
        <v>0.8</v>
      </c>
      <c r="L2813" s="26">
        <v>75</v>
      </c>
      <c r="M2813" s="25">
        <f>K2813/L2813*100</f>
        <v>1.0666666666666669</v>
      </c>
      <c r="N2813" s="36"/>
      <c r="O2813" s="81" t="s">
        <v>1204</v>
      </c>
    </row>
    <row r="2814" spans="9:15" ht="12.75">
      <c r="I2814" s="80"/>
      <c r="J2814" s="105"/>
      <c r="K2814" s="35"/>
      <c r="L2814" s="36"/>
      <c r="M2814" s="35"/>
      <c r="N2814" s="36"/>
      <c r="O2814" s="81"/>
    </row>
    <row r="2815" spans="9:15" ht="15.75">
      <c r="I2815" s="79" t="s">
        <v>2837</v>
      </c>
      <c r="J2815" s="105"/>
      <c r="K2815" s="35"/>
      <c r="L2815" s="81" t="s">
        <v>2036</v>
      </c>
      <c r="M2815" s="351" t="s">
        <v>2029</v>
      </c>
      <c r="N2815" s="36"/>
      <c r="O2815" s="81"/>
    </row>
    <row r="2816" spans="9:15" ht="12.75">
      <c r="I2816" s="82" t="s">
        <v>3133</v>
      </c>
      <c r="J2816" s="105"/>
      <c r="K2816" s="35">
        <v>1.99</v>
      </c>
      <c r="L2816" s="36">
        <v>80</v>
      </c>
      <c r="M2816" s="35">
        <f>K2816/L2816*100</f>
        <v>2.4875000000000003</v>
      </c>
      <c r="N2816" s="36"/>
      <c r="O2816" s="88" t="s">
        <v>3134</v>
      </c>
    </row>
    <row r="2817" spans="9:15" ht="12.75">
      <c r="I2817" s="109" t="s">
        <v>3072</v>
      </c>
      <c r="J2817" s="105"/>
      <c r="K2817" s="35"/>
      <c r="L2817" s="36"/>
      <c r="M2817" s="35"/>
      <c r="N2817" s="36"/>
      <c r="O2817" s="81" t="s">
        <v>2986</v>
      </c>
    </row>
    <row r="2818" spans="9:15" ht="12.75">
      <c r="I2818" s="82" t="s">
        <v>3067</v>
      </c>
      <c r="J2818" s="105"/>
      <c r="K2818" s="35">
        <v>1.95</v>
      </c>
      <c r="L2818" s="36">
        <v>100</v>
      </c>
      <c r="M2818" s="35">
        <f>K2818/L2818*100</f>
        <v>1.95</v>
      </c>
      <c r="N2818" s="36"/>
      <c r="O2818" s="81" t="s">
        <v>1281</v>
      </c>
    </row>
    <row r="2819" spans="9:15" ht="12.75">
      <c r="I2819" s="80" t="s">
        <v>1892</v>
      </c>
      <c r="J2819" s="105"/>
      <c r="K2819" s="35">
        <v>1.75</v>
      </c>
      <c r="L2819" s="36">
        <v>100</v>
      </c>
      <c r="M2819" s="35">
        <f aca="true" t="shared" si="214" ref="M2819:M2824">K2819/L2819*100</f>
        <v>1.7500000000000002</v>
      </c>
      <c r="N2819" s="36"/>
      <c r="O2819" s="125" t="s">
        <v>2071</v>
      </c>
    </row>
    <row r="2820" spans="9:15" ht="12.75">
      <c r="I2820" s="71" t="s">
        <v>1158</v>
      </c>
      <c r="J2820" s="96"/>
      <c r="K2820" s="29">
        <v>1.49</v>
      </c>
      <c r="L2820" s="30">
        <v>100</v>
      </c>
      <c r="M2820" s="29">
        <f t="shared" si="214"/>
        <v>1.49</v>
      </c>
      <c r="N2820" s="36"/>
      <c r="O2820" s="81" t="s">
        <v>1304</v>
      </c>
    </row>
    <row r="2821" spans="9:15" ht="12.75">
      <c r="I2821" s="71" t="s">
        <v>3055</v>
      </c>
      <c r="J2821" s="96"/>
      <c r="K2821" s="29">
        <v>1.49</v>
      </c>
      <c r="L2821" s="30">
        <v>100</v>
      </c>
      <c r="M2821" s="29">
        <f t="shared" si="214"/>
        <v>1.49</v>
      </c>
      <c r="N2821" s="36"/>
      <c r="O2821" s="81" t="s">
        <v>1724</v>
      </c>
    </row>
    <row r="2822" spans="9:15" ht="12.75">
      <c r="I2822" s="21" t="s">
        <v>2660</v>
      </c>
      <c r="J2822" s="120"/>
      <c r="K2822" s="22">
        <v>1.49</v>
      </c>
      <c r="L2822" s="23">
        <v>50</v>
      </c>
      <c r="M2822" s="22">
        <f t="shared" si="214"/>
        <v>2.98</v>
      </c>
      <c r="N2822" s="36"/>
      <c r="O2822" s="81" t="s">
        <v>181</v>
      </c>
    </row>
    <row r="2823" spans="9:15" ht="12.75">
      <c r="I2823" s="21" t="s">
        <v>2660</v>
      </c>
      <c r="J2823" s="120"/>
      <c r="K2823" s="22">
        <v>1.89</v>
      </c>
      <c r="L2823" s="23">
        <v>50</v>
      </c>
      <c r="M2823" s="22">
        <f t="shared" si="214"/>
        <v>3.7800000000000002</v>
      </c>
      <c r="N2823" s="36"/>
      <c r="O2823" s="81" t="s">
        <v>2943</v>
      </c>
    </row>
    <row r="2824" spans="9:15" ht="12.75">
      <c r="I2824" s="37" t="s">
        <v>2838</v>
      </c>
      <c r="J2824" s="105"/>
      <c r="K2824" s="35">
        <v>3.45</v>
      </c>
      <c r="L2824" s="36">
        <v>50</v>
      </c>
      <c r="M2824" s="35">
        <f t="shared" si="214"/>
        <v>6.9</v>
      </c>
      <c r="N2824" s="36"/>
      <c r="O2824" s="81" t="s">
        <v>2864</v>
      </c>
    </row>
    <row r="2825" spans="9:15" ht="12.75">
      <c r="I2825" s="37"/>
      <c r="J2825" s="105"/>
      <c r="K2825" s="35"/>
      <c r="L2825" s="36"/>
      <c r="M2825" s="35"/>
      <c r="N2825" s="36"/>
      <c r="O2825" s="81"/>
    </row>
    <row r="2826" spans="9:15" ht="15.75">
      <c r="I2826" s="79" t="s">
        <v>707</v>
      </c>
      <c r="J2826" s="105"/>
      <c r="K2826" s="35"/>
      <c r="L2826" s="81" t="s">
        <v>2743</v>
      </c>
      <c r="M2826" s="351" t="s">
        <v>709</v>
      </c>
      <c r="N2826" s="36"/>
      <c r="O2826" s="81"/>
    </row>
    <row r="2827" spans="9:15" ht="12.75">
      <c r="I2827" s="97" t="s">
        <v>1890</v>
      </c>
      <c r="J2827" s="105"/>
      <c r="K2827" s="35">
        <v>4.45</v>
      </c>
      <c r="L2827" s="36">
        <v>8</v>
      </c>
      <c r="M2827" s="35">
        <f>K2827/L2827*100</f>
        <v>55.625</v>
      </c>
      <c r="N2827" s="83" t="s">
        <v>1362</v>
      </c>
      <c r="O2827" s="81" t="s">
        <v>2911</v>
      </c>
    </row>
    <row r="2828" spans="9:15" ht="12.75">
      <c r="I2828" s="43" t="s">
        <v>708</v>
      </c>
      <c r="J2828" s="105"/>
      <c r="K2828" s="35">
        <v>4.99</v>
      </c>
      <c r="L2828" s="36">
        <v>8</v>
      </c>
      <c r="M2828" s="35">
        <f>K2828/L2828*100</f>
        <v>62.375</v>
      </c>
      <c r="N2828" s="36"/>
      <c r="O2828" s="81" t="s">
        <v>2911</v>
      </c>
    </row>
    <row r="2829" spans="9:15" ht="12.75">
      <c r="I2829" s="28" t="s">
        <v>708</v>
      </c>
      <c r="J2829" s="96"/>
      <c r="K2829" s="29">
        <v>4.8</v>
      </c>
      <c r="L2829" s="30">
        <v>8</v>
      </c>
      <c r="M2829" s="29">
        <f>K2829/L2829*100</f>
        <v>60</v>
      </c>
      <c r="N2829" s="36"/>
      <c r="O2829" s="81" t="s">
        <v>173</v>
      </c>
    </row>
    <row r="2830" spans="9:15" ht="12.75">
      <c r="I2830" s="43" t="s">
        <v>1890</v>
      </c>
      <c r="J2830" s="105"/>
      <c r="K2830" s="35">
        <v>4.9</v>
      </c>
      <c r="L2830" s="36">
        <v>8</v>
      </c>
      <c r="M2830" s="35">
        <f>K2830/L2830*100</f>
        <v>61.25000000000001</v>
      </c>
      <c r="N2830" s="36"/>
      <c r="O2830" s="81" t="s">
        <v>1281</v>
      </c>
    </row>
    <row r="2831" spans="9:15" ht="12.75">
      <c r="I2831" s="37" t="s">
        <v>1891</v>
      </c>
      <c r="J2831" s="105"/>
      <c r="K2831" s="35"/>
      <c r="L2831" s="36"/>
      <c r="M2831" s="35"/>
      <c r="N2831" s="36"/>
      <c r="O2831" s="81"/>
    </row>
    <row r="2832" spans="9:15" ht="12.75">
      <c r="I2832" s="37"/>
      <c r="J2832" s="105"/>
      <c r="K2832" s="35"/>
      <c r="L2832" s="36"/>
      <c r="M2832" s="35"/>
      <c r="N2832" s="36"/>
      <c r="O2832" s="81"/>
    </row>
    <row r="2833" spans="9:15" ht="15.75">
      <c r="I2833" s="79" t="s">
        <v>710</v>
      </c>
      <c r="J2833" s="105"/>
      <c r="K2833" s="35"/>
      <c r="L2833" s="81"/>
      <c r="M2833" s="351"/>
      <c r="N2833" s="36"/>
      <c r="O2833" s="81"/>
    </row>
    <row r="2834" spans="9:15" ht="12.75">
      <c r="I2834" s="82" t="s">
        <v>711</v>
      </c>
      <c r="J2834" s="105"/>
      <c r="K2834" s="35"/>
      <c r="L2834" s="36"/>
      <c r="M2834" s="35">
        <v>2.19</v>
      </c>
      <c r="N2834" s="36"/>
      <c r="O2834" s="81" t="s">
        <v>1281</v>
      </c>
    </row>
    <row r="2835" spans="9:15" ht="12.75">
      <c r="I2835" s="82"/>
      <c r="J2835" s="105"/>
      <c r="K2835" s="35"/>
      <c r="L2835" s="36"/>
      <c r="M2835" s="35"/>
      <c r="N2835" s="36"/>
      <c r="O2835" s="81"/>
    </row>
    <row r="2836" spans="9:15" ht="15.75">
      <c r="I2836" s="79" t="s">
        <v>1996</v>
      </c>
      <c r="J2836" s="105"/>
      <c r="K2836" s="35"/>
      <c r="L2836" s="81"/>
      <c r="M2836" s="351"/>
      <c r="N2836" s="36"/>
      <c r="O2836" s="81"/>
    </row>
    <row r="2837" spans="9:15" ht="12.75">
      <c r="I2837" s="82" t="s">
        <v>1997</v>
      </c>
      <c r="J2837" s="105"/>
      <c r="K2837" s="35"/>
      <c r="L2837" s="36"/>
      <c r="M2837" s="35" t="s">
        <v>1805</v>
      </c>
      <c r="N2837" s="36"/>
      <c r="O2837" s="81">
        <v>2018</v>
      </c>
    </row>
    <row r="2838" spans="9:15" ht="12.75">
      <c r="I2838" s="82"/>
      <c r="J2838" s="105"/>
      <c r="K2838" s="35"/>
      <c r="L2838" s="36"/>
      <c r="M2838" s="35"/>
      <c r="N2838" s="36"/>
      <c r="O2838" s="81"/>
    </row>
    <row r="2839" spans="9:15" ht="12.75">
      <c r="I2839" s="82"/>
      <c r="J2839" s="105"/>
      <c r="K2839" s="35"/>
      <c r="L2839" s="36"/>
      <c r="M2839" s="35"/>
      <c r="N2839" s="36"/>
      <c r="O2839" s="81"/>
    </row>
    <row r="2840" spans="9:15" ht="15.75">
      <c r="I2840" s="178" t="s">
        <v>2449</v>
      </c>
      <c r="J2840" s="105"/>
      <c r="K2840" s="35"/>
      <c r="L2840" s="36"/>
      <c r="M2840" s="35" t="s">
        <v>2509</v>
      </c>
      <c r="N2840" s="83"/>
      <c r="O2840" s="81"/>
    </row>
    <row r="2841" spans="9:15" ht="12.75">
      <c r="I2841" s="15" t="s">
        <v>1562</v>
      </c>
      <c r="J2841" s="55"/>
      <c r="K2841" s="16">
        <v>1.25</v>
      </c>
      <c r="L2841" s="1359">
        <f>500/15</f>
        <v>33.333333333333336</v>
      </c>
      <c r="M2841" s="1360">
        <f>K2841/L2841</f>
        <v>0.0375</v>
      </c>
      <c r="N2841" s="440"/>
      <c r="O2841" s="51" t="s">
        <v>2514</v>
      </c>
    </row>
    <row r="2842" spans="9:15" ht="12.75">
      <c r="I2842" s="15" t="s">
        <v>1562</v>
      </c>
      <c r="J2842" s="55"/>
      <c r="K2842" s="16">
        <v>1.15</v>
      </c>
      <c r="L2842" s="1359">
        <f>500/15</f>
        <v>33.333333333333336</v>
      </c>
      <c r="M2842" s="1360">
        <f>K2842/L2842</f>
        <v>0.034499999999999996</v>
      </c>
      <c r="N2842" s="440" t="s">
        <v>1362</v>
      </c>
      <c r="O2842" s="125" t="s">
        <v>2514</v>
      </c>
    </row>
    <row r="2843" spans="9:15" ht="12.75">
      <c r="I2843" s="71" t="s">
        <v>1562</v>
      </c>
      <c r="J2843" s="96"/>
      <c r="K2843" s="29">
        <v>1.15</v>
      </c>
      <c r="L2843" s="1424">
        <f>500/15</f>
        <v>33.333333333333336</v>
      </c>
      <c r="M2843" s="1425">
        <f aca="true" t="shared" si="215" ref="M2843:M2858">K2843/L2843</f>
        <v>0.034499999999999996</v>
      </c>
      <c r="N2843" s="426"/>
      <c r="O2843" s="81" t="s">
        <v>1170</v>
      </c>
    </row>
    <row r="2844" spans="9:15" ht="12.75">
      <c r="I2844" s="86" t="s">
        <v>2368</v>
      </c>
      <c r="J2844" s="38"/>
      <c r="K2844" s="25">
        <v>2.47</v>
      </c>
      <c r="L2844" s="889">
        <v>25</v>
      </c>
      <c r="M2844" s="1419">
        <f t="shared" si="215"/>
        <v>0.09880000000000001</v>
      </c>
      <c r="N2844" s="426"/>
      <c r="O2844" s="81" t="s">
        <v>2634</v>
      </c>
    </row>
    <row r="2845" spans="9:15" ht="12.75">
      <c r="I2845" s="15" t="s">
        <v>245</v>
      </c>
      <c r="J2845" s="55"/>
      <c r="K2845" s="16">
        <v>1.15</v>
      </c>
      <c r="L2845" s="1359">
        <v>25</v>
      </c>
      <c r="M2845" s="1360">
        <f t="shared" si="215"/>
        <v>0.046</v>
      </c>
      <c r="O2845" s="81" t="s">
        <v>3121</v>
      </c>
    </row>
    <row r="2846" spans="9:15" ht="12.75">
      <c r="I2846" s="15" t="s">
        <v>314</v>
      </c>
      <c r="J2846" s="55"/>
      <c r="K2846" s="16">
        <v>1.15</v>
      </c>
      <c r="L2846" s="1359">
        <v>25</v>
      </c>
      <c r="M2846" s="1360">
        <f t="shared" si="215"/>
        <v>0.046</v>
      </c>
      <c r="O2846" s="81" t="s">
        <v>62</v>
      </c>
    </row>
    <row r="2847" spans="9:15" ht="12.75">
      <c r="I2847" s="147" t="s">
        <v>1562</v>
      </c>
      <c r="J2847" s="162"/>
      <c r="K2847" s="148">
        <v>0.89</v>
      </c>
      <c r="L2847" s="912">
        <f>500/15</f>
        <v>33.333333333333336</v>
      </c>
      <c r="M2847" s="1357">
        <f t="shared" si="215"/>
        <v>0.026699999999999998</v>
      </c>
      <c r="N2847" s="36"/>
      <c r="O2847" s="81" t="s">
        <v>2402</v>
      </c>
    </row>
    <row r="2848" spans="9:15" ht="12.75">
      <c r="I2848" s="147"/>
      <c r="J2848" s="162"/>
      <c r="K2848" s="148"/>
      <c r="L2848" s="912"/>
      <c r="M2848" s="1357"/>
      <c r="N2848" s="36"/>
      <c r="O2848" s="81"/>
    </row>
    <row r="2849" spans="9:15" ht="15.75">
      <c r="I2849" s="79" t="s">
        <v>1074</v>
      </c>
      <c r="J2849" s="162"/>
      <c r="K2849" s="148"/>
      <c r="L2849" s="912"/>
      <c r="M2849" s="1357"/>
      <c r="N2849" s="36"/>
      <c r="O2849" s="81"/>
    </row>
    <row r="2850" spans="9:15" ht="12.75">
      <c r="I2850" s="37" t="s">
        <v>1075</v>
      </c>
      <c r="J2850" s="38"/>
      <c r="K2850" s="25">
        <v>4.29</v>
      </c>
      <c r="L2850" s="36"/>
      <c r="M2850" s="35"/>
      <c r="N2850" s="36"/>
      <c r="O2850" s="51" t="s">
        <v>2514</v>
      </c>
    </row>
    <row r="2851" spans="9:15" ht="12.75">
      <c r="I2851" s="97" t="s">
        <v>3069</v>
      </c>
      <c r="J2851" s="105"/>
      <c r="K2851" s="103">
        <v>2.99</v>
      </c>
      <c r="L2851" s="440"/>
      <c r="M2851" s="35"/>
      <c r="N2851" s="36"/>
      <c r="O2851" s="125" t="s">
        <v>706</v>
      </c>
    </row>
    <row r="2852" spans="9:15" ht="12.75">
      <c r="I2852" s="97" t="s">
        <v>1076</v>
      </c>
      <c r="J2852" s="105"/>
      <c r="K2852" s="276">
        <v>3.95</v>
      </c>
      <c r="L2852" s="440"/>
      <c r="M2852" s="35"/>
      <c r="N2852" s="36"/>
      <c r="O2852" s="125" t="s">
        <v>2514</v>
      </c>
    </row>
    <row r="2853" spans="9:15" ht="12.75">
      <c r="I2853" s="43" t="s">
        <v>2633</v>
      </c>
      <c r="J2853" s="105"/>
      <c r="K2853" s="25">
        <v>4.02</v>
      </c>
      <c r="L2853" s="36">
        <v>25</v>
      </c>
      <c r="M2853" s="35">
        <f t="shared" si="215"/>
        <v>0.16079999999999997</v>
      </c>
      <c r="N2853" s="36"/>
      <c r="O2853" s="51" t="s">
        <v>2634</v>
      </c>
    </row>
    <row r="2854" spans="9:15" ht="12.75">
      <c r="I2854" s="43" t="s">
        <v>2129</v>
      </c>
      <c r="J2854" s="105"/>
      <c r="K2854" s="25">
        <v>3.79</v>
      </c>
      <c r="L2854" s="36">
        <v>25</v>
      </c>
      <c r="M2854" s="35">
        <f t="shared" si="215"/>
        <v>0.1516</v>
      </c>
      <c r="N2854" s="36"/>
      <c r="O2854" s="51" t="s">
        <v>157</v>
      </c>
    </row>
    <row r="2855" spans="9:15" ht="12.75">
      <c r="I2855" s="37" t="s">
        <v>1132</v>
      </c>
      <c r="J2855" s="38"/>
      <c r="K2855" s="25">
        <v>3.79</v>
      </c>
      <c r="L2855" s="36">
        <v>25</v>
      </c>
      <c r="M2855" s="35">
        <f t="shared" si="215"/>
        <v>0.1516</v>
      </c>
      <c r="N2855" s="36"/>
      <c r="O2855" s="51" t="s">
        <v>1145</v>
      </c>
    </row>
    <row r="2856" spans="9:15" ht="12.75">
      <c r="I2856" s="21" t="s">
        <v>1132</v>
      </c>
      <c r="J2856" s="120"/>
      <c r="K2856" s="22">
        <v>3.19</v>
      </c>
      <c r="L2856" s="23">
        <v>25</v>
      </c>
      <c r="M2856" s="22">
        <f t="shared" si="215"/>
        <v>0.1276</v>
      </c>
      <c r="N2856" s="36"/>
      <c r="O2856" s="51" t="s">
        <v>1521</v>
      </c>
    </row>
    <row r="2857" spans="9:15" ht="12.75">
      <c r="I2857" s="86" t="s">
        <v>3038</v>
      </c>
      <c r="J2857" s="38"/>
      <c r="K2857" s="490">
        <v>5.19</v>
      </c>
      <c r="L2857" s="36">
        <v>25</v>
      </c>
      <c r="M2857" s="35">
        <f t="shared" si="215"/>
        <v>0.2076</v>
      </c>
      <c r="N2857" s="36"/>
      <c r="O2857" s="81" t="s">
        <v>354</v>
      </c>
    </row>
    <row r="2858" spans="9:15" ht="12.75">
      <c r="I2858" s="43" t="s">
        <v>2628</v>
      </c>
      <c r="J2858" s="105"/>
      <c r="K2858" s="35">
        <v>3.75</v>
      </c>
      <c r="L2858" s="36">
        <v>25</v>
      </c>
      <c r="M2858" s="35">
        <f t="shared" si="215"/>
        <v>0.15</v>
      </c>
      <c r="N2858" s="36"/>
      <c r="O2858" s="51" t="s">
        <v>354</v>
      </c>
    </row>
    <row r="2859" spans="9:15" ht="15.75">
      <c r="I2859" s="79"/>
      <c r="J2859" s="105"/>
      <c r="K2859" s="35"/>
      <c r="L2859" s="911"/>
      <c r="M2859" s="35"/>
      <c r="N2859" s="83"/>
      <c r="O2859" s="81"/>
    </row>
    <row r="2860" spans="9:15" ht="15.75">
      <c r="I2860" s="79"/>
      <c r="J2860" s="105"/>
      <c r="K2860" s="35"/>
      <c r="L2860" s="36"/>
      <c r="M2860" s="35"/>
      <c r="N2860" s="83"/>
      <c r="O2860" s="81"/>
    </row>
    <row r="2861" spans="9:15" ht="12.75">
      <c r="I2861" s="82"/>
      <c r="J2861" s="105"/>
      <c r="K2861" s="35"/>
      <c r="L2861" s="36"/>
      <c r="M2861" s="35"/>
      <c r="N2861" s="36"/>
      <c r="O2861" s="106"/>
    </row>
    <row r="2862" spans="9:15" ht="15.75">
      <c r="I2862" s="178" t="s">
        <v>1844</v>
      </c>
      <c r="J2862" s="105"/>
      <c r="K2862" s="35"/>
      <c r="L2862" s="36" t="s">
        <v>1271</v>
      </c>
      <c r="M2862" s="35"/>
      <c r="N2862" s="36"/>
      <c r="O2862" s="81"/>
    </row>
    <row r="2863" spans="9:15" ht="12.75">
      <c r="I2863" s="15" t="s">
        <v>450</v>
      </c>
      <c r="J2863" s="55"/>
      <c r="K2863" s="129">
        <v>65</v>
      </c>
      <c r="L2863" s="7">
        <v>400</v>
      </c>
      <c r="M2863" s="129">
        <f>K2863/L2863</f>
        <v>0.1625</v>
      </c>
      <c r="N2863" s="628"/>
      <c r="O2863" s="931" t="s">
        <v>2170</v>
      </c>
    </row>
    <row r="2864" spans="9:15" ht="12.75">
      <c r="I2864" s="67" t="s">
        <v>1385</v>
      </c>
      <c r="J2864" s="164"/>
      <c r="K2864" s="419">
        <v>85.4</v>
      </c>
      <c r="L2864" s="69">
        <v>400</v>
      </c>
      <c r="M2864" s="419">
        <f>K2864/L2864</f>
        <v>0.21350000000000002</v>
      </c>
      <c r="N2864" s="628"/>
      <c r="O2864" s="125" t="s">
        <v>354</v>
      </c>
    </row>
    <row r="2865" spans="9:15" ht="12.75">
      <c r="I2865" s="174" t="s">
        <v>2865</v>
      </c>
      <c r="J2865" s="164"/>
      <c r="K2865" s="419">
        <v>20</v>
      </c>
      <c r="L2865" s="69">
        <v>100</v>
      </c>
      <c r="M2865" s="419">
        <f aca="true" t="shared" si="216" ref="M2865:M2871">K2865/L2865</f>
        <v>0.2</v>
      </c>
      <c r="N2865" s="623" t="s">
        <v>1731</v>
      </c>
      <c r="O2865" s="81" t="s">
        <v>2350</v>
      </c>
    </row>
    <row r="2866" spans="9:15" ht="12.75">
      <c r="I2866" s="67" t="s">
        <v>2110</v>
      </c>
      <c r="J2866" s="164"/>
      <c r="K2866" s="419">
        <v>25</v>
      </c>
      <c r="L2866" s="69">
        <v>100</v>
      </c>
      <c r="M2866" s="419">
        <f>K2866/L2866</f>
        <v>0.25</v>
      </c>
      <c r="N2866" s="628"/>
      <c r="O2866" s="81" t="s">
        <v>1458</v>
      </c>
    </row>
    <row r="2867" spans="9:15" ht="12.75">
      <c r="I2867" s="174" t="s">
        <v>2110</v>
      </c>
      <c r="J2867" s="164"/>
      <c r="K2867" s="419">
        <v>20</v>
      </c>
      <c r="L2867" s="69">
        <v>100</v>
      </c>
      <c r="M2867" s="419">
        <f t="shared" si="216"/>
        <v>0.2</v>
      </c>
      <c r="N2867" s="628"/>
      <c r="O2867" s="81" t="s">
        <v>1494</v>
      </c>
    </row>
    <row r="2868" spans="9:15" ht="12.75">
      <c r="I2868" s="174" t="s">
        <v>6</v>
      </c>
      <c r="J2868" s="164"/>
      <c r="K2868" s="419">
        <v>40</v>
      </c>
      <c r="L2868" s="69">
        <v>200</v>
      </c>
      <c r="M2868" s="419">
        <f t="shared" si="216"/>
        <v>0.2</v>
      </c>
      <c r="N2868" s="628"/>
      <c r="O2868" s="81" t="s">
        <v>2120</v>
      </c>
    </row>
    <row r="2869" spans="3:15" ht="12.75">
      <c r="C2869" s="1605" t="s">
        <v>268</v>
      </c>
      <c r="D2869" s="1605"/>
      <c r="E2869" s="1605"/>
      <c r="F2869" s="1606"/>
      <c r="G2869" s="1605"/>
      <c r="H2869" s="278"/>
      <c r="I2869" s="174" t="s">
        <v>1208</v>
      </c>
      <c r="J2869" s="164"/>
      <c r="K2869" s="68">
        <v>14.8</v>
      </c>
      <c r="L2869" s="69">
        <v>100</v>
      </c>
      <c r="M2869" s="419">
        <f t="shared" si="216"/>
        <v>0.14800000000000002</v>
      </c>
      <c r="N2869" s="69"/>
      <c r="O2869" s="81" t="s">
        <v>1595</v>
      </c>
    </row>
    <row r="2870" spans="9:15" ht="12.75">
      <c r="I2870" s="174" t="s">
        <v>201</v>
      </c>
      <c r="J2870" s="164"/>
      <c r="K2870" s="68">
        <v>17.99</v>
      </c>
      <c r="L2870" s="69">
        <v>100</v>
      </c>
      <c r="M2870" s="419">
        <f t="shared" si="216"/>
        <v>0.17989999999999998</v>
      </c>
      <c r="N2870" s="69"/>
      <c r="O2870" s="81" t="s">
        <v>1226</v>
      </c>
    </row>
    <row r="2871" spans="9:15" ht="12.75">
      <c r="I2871" s="67" t="s">
        <v>1984</v>
      </c>
      <c r="J2871" s="164"/>
      <c r="K2871" s="68">
        <v>11.9</v>
      </c>
      <c r="L2871" s="69">
        <v>100</v>
      </c>
      <c r="M2871" s="68">
        <f t="shared" si="216"/>
        <v>0.11900000000000001</v>
      </c>
      <c r="N2871" s="69" t="s">
        <v>1611</v>
      </c>
      <c r="O2871" s="81" t="s">
        <v>820</v>
      </c>
    </row>
    <row r="2872" spans="9:15" ht="12.75">
      <c r="I2872" s="82"/>
      <c r="J2872" s="105"/>
      <c r="K2872" s="35"/>
      <c r="L2872" s="36"/>
      <c r="M2872" s="35"/>
      <c r="N2872" s="36"/>
      <c r="O2872" s="81"/>
    </row>
    <row r="2873" spans="9:15" ht="15.75">
      <c r="I2873" s="178" t="s">
        <v>1169</v>
      </c>
      <c r="J2873" s="105"/>
      <c r="K2873" s="35"/>
      <c r="L2873" s="36"/>
      <c r="M2873" s="35"/>
      <c r="N2873" s="36"/>
      <c r="O2873" s="81"/>
    </row>
    <row r="2874" spans="9:15" ht="12.75">
      <c r="I2874" s="97" t="s">
        <v>119</v>
      </c>
      <c r="J2874" s="61"/>
      <c r="K2874" s="1310">
        <v>25.68</v>
      </c>
      <c r="L2874" s="42">
        <v>150</v>
      </c>
      <c r="M2874" s="103">
        <f aca="true" t="shared" si="217" ref="M2874:M2879">K2874/L2874</f>
        <v>0.1712</v>
      </c>
      <c r="N2874" s="26"/>
      <c r="O2874" s="81" t="s">
        <v>1400</v>
      </c>
    </row>
    <row r="2875" spans="9:15" ht="12.75">
      <c r="I2875" s="97" t="s">
        <v>2206</v>
      </c>
      <c r="J2875" s="61"/>
      <c r="K2875" s="1310">
        <v>41.74</v>
      </c>
      <c r="L2875" s="42">
        <v>200</v>
      </c>
      <c r="M2875" s="276">
        <f t="shared" si="217"/>
        <v>0.2087</v>
      </c>
      <c r="N2875" s="26"/>
      <c r="O2875" s="81" t="s">
        <v>2164</v>
      </c>
    </row>
    <row r="2876" spans="9:15" ht="12.75">
      <c r="I2876" s="97" t="s">
        <v>1122</v>
      </c>
      <c r="J2876" s="61"/>
      <c r="K2876" s="276">
        <v>15.24</v>
      </c>
      <c r="L2876" s="42">
        <v>100</v>
      </c>
      <c r="M2876" s="276">
        <f t="shared" si="217"/>
        <v>0.1524</v>
      </c>
      <c r="N2876" s="26" t="s">
        <v>1611</v>
      </c>
      <c r="O2876" s="81" t="s">
        <v>2877</v>
      </c>
    </row>
    <row r="2877" spans="9:15" ht="12.75">
      <c r="I2877" s="174" t="s">
        <v>291</v>
      </c>
      <c r="J2877" s="164"/>
      <c r="K2877" s="419">
        <v>19</v>
      </c>
      <c r="L2877" s="69">
        <v>100</v>
      </c>
      <c r="M2877" s="419">
        <f t="shared" si="217"/>
        <v>0.19</v>
      </c>
      <c r="N2877" s="26" t="s">
        <v>1611</v>
      </c>
      <c r="O2877" s="81" t="s">
        <v>1199</v>
      </c>
    </row>
    <row r="2878" spans="9:15" ht="12.75">
      <c r="I2878" s="277" t="s">
        <v>1121</v>
      </c>
      <c r="J2878" s="156"/>
      <c r="K2878" s="685">
        <v>39.18</v>
      </c>
      <c r="L2878" s="20">
        <v>200</v>
      </c>
      <c r="M2878" s="685">
        <f t="shared" si="217"/>
        <v>0.1959</v>
      </c>
      <c r="N2878" s="628"/>
      <c r="O2878" s="81" t="s">
        <v>2877</v>
      </c>
    </row>
    <row r="2879" spans="9:15" ht="12.75">
      <c r="I2879" s="147" t="s">
        <v>2192</v>
      </c>
      <c r="J2879" s="162"/>
      <c r="K2879" s="721">
        <v>38.98</v>
      </c>
      <c r="L2879" s="149">
        <v>200</v>
      </c>
      <c r="M2879" s="721">
        <f t="shared" si="217"/>
        <v>0.1949</v>
      </c>
      <c r="N2879" s="628"/>
      <c r="O2879" s="81" t="s">
        <v>1199</v>
      </c>
    </row>
    <row r="2880" spans="9:15" ht="12.75">
      <c r="I2880" s="147" t="s">
        <v>2192</v>
      </c>
      <c r="J2880" s="162"/>
      <c r="K2880" s="721">
        <v>39.3</v>
      </c>
      <c r="L2880" s="149">
        <v>200</v>
      </c>
      <c r="M2880" s="721">
        <f aca="true" t="shared" si="218" ref="M2880:M2889">K2880/L2880</f>
        <v>0.19649999999999998</v>
      </c>
      <c r="N2880" s="628"/>
      <c r="O2880" s="81" t="s">
        <v>2065</v>
      </c>
    </row>
    <row r="2881" spans="9:15" ht="12.75">
      <c r="I2881" s="56" t="s">
        <v>817</v>
      </c>
      <c r="J2881" s="156"/>
      <c r="K2881" s="57">
        <v>19.99</v>
      </c>
      <c r="L2881" s="20">
        <v>100</v>
      </c>
      <c r="M2881" s="57">
        <f>K2881/L2881</f>
        <v>0.1999</v>
      </c>
      <c r="N2881" s="628"/>
      <c r="O2881" s="81" t="s">
        <v>2065</v>
      </c>
    </row>
    <row r="2882" spans="9:15" ht="12.75">
      <c r="I2882" s="266" t="s">
        <v>1484</v>
      </c>
      <c r="J2882" s="826"/>
      <c r="K2882" s="1111">
        <v>16.5</v>
      </c>
      <c r="L2882" s="834">
        <v>100</v>
      </c>
      <c r="M2882" s="1111">
        <f t="shared" si="218"/>
        <v>0.165</v>
      </c>
      <c r="N2882" s="1112" t="s">
        <v>1797</v>
      </c>
      <c r="O2882" s="1113" t="s">
        <v>2434</v>
      </c>
    </row>
    <row r="2883" spans="9:15" ht="12.75">
      <c r="I2883" s="15" t="s">
        <v>450</v>
      </c>
      <c r="J2883" s="55"/>
      <c r="K2883" s="129">
        <v>77</v>
      </c>
      <c r="L2883" s="7">
        <v>400</v>
      </c>
      <c r="M2883" s="129">
        <f t="shared" si="218"/>
        <v>0.1925</v>
      </c>
      <c r="N2883" s="628"/>
      <c r="O2883" s="81" t="s">
        <v>1738</v>
      </c>
    </row>
    <row r="2884" spans="9:15" ht="12.75">
      <c r="I2884" s="15" t="s">
        <v>452</v>
      </c>
      <c r="J2884" s="55"/>
      <c r="K2884" s="129">
        <v>40.04</v>
      </c>
      <c r="L2884" s="7">
        <v>200</v>
      </c>
      <c r="M2884" s="129">
        <f t="shared" si="218"/>
        <v>0.2002</v>
      </c>
      <c r="N2884" s="628"/>
      <c r="O2884" s="81" t="s">
        <v>2463</v>
      </c>
    </row>
    <row r="2885" spans="9:15" ht="12.75">
      <c r="I2885" s="109" t="s">
        <v>450</v>
      </c>
      <c r="J2885" s="120"/>
      <c r="K2885" s="774">
        <v>77</v>
      </c>
      <c r="L2885" s="23">
        <v>400</v>
      </c>
      <c r="M2885" s="774">
        <f t="shared" si="218"/>
        <v>0.1925</v>
      </c>
      <c r="N2885" s="628"/>
      <c r="O2885" s="81" t="s">
        <v>2170</v>
      </c>
    </row>
    <row r="2886" spans="9:15" ht="12.75">
      <c r="I2886" s="80" t="s">
        <v>382</v>
      </c>
      <c r="J2886" s="105"/>
      <c r="K2886" s="910">
        <v>76.92</v>
      </c>
      <c r="L2886" s="36">
        <v>300</v>
      </c>
      <c r="M2886" s="592">
        <f t="shared" si="218"/>
        <v>0.2564</v>
      </c>
      <c r="N2886" s="36"/>
      <c r="O2886" s="81" t="s">
        <v>354</v>
      </c>
    </row>
    <row r="2887" spans="9:15" ht="12.75">
      <c r="I2887" s="71" t="s">
        <v>2111</v>
      </c>
      <c r="J2887" s="96"/>
      <c r="K2887" s="116">
        <v>50</v>
      </c>
      <c r="L2887" s="30">
        <v>200</v>
      </c>
      <c r="M2887" s="116">
        <f t="shared" si="218"/>
        <v>0.25</v>
      </c>
      <c r="N2887" s="30" t="s">
        <v>1362</v>
      </c>
      <c r="O2887" s="81" t="s">
        <v>727</v>
      </c>
    </row>
    <row r="2888" spans="9:15" ht="12.75">
      <c r="I2888" s="80" t="s">
        <v>2111</v>
      </c>
      <c r="J2888" s="105"/>
      <c r="K2888" s="592">
        <v>70</v>
      </c>
      <c r="L2888" s="36">
        <v>250</v>
      </c>
      <c r="M2888" s="592">
        <f t="shared" si="218"/>
        <v>0.28</v>
      </c>
      <c r="N2888" s="36"/>
      <c r="O2888" s="81" t="s">
        <v>689</v>
      </c>
    </row>
    <row r="2889" spans="9:15" ht="12.75">
      <c r="I2889" s="80" t="s">
        <v>2111</v>
      </c>
      <c r="J2889" s="105"/>
      <c r="K2889" s="592">
        <v>30</v>
      </c>
      <c r="L2889" s="36">
        <v>100</v>
      </c>
      <c r="M2889" s="592">
        <f t="shared" si="218"/>
        <v>0.3</v>
      </c>
      <c r="N2889" s="36"/>
      <c r="O2889" s="81" t="s">
        <v>662</v>
      </c>
    </row>
    <row r="2890" spans="9:15" ht="12.75">
      <c r="I2890" s="71" t="s">
        <v>2153</v>
      </c>
      <c r="J2890" s="96"/>
      <c r="K2890" s="29">
        <v>29</v>
      </c>
      <c r="L2890" s="30">
        <v>100</v>
      </c>
      <c r="M2890" s="116">
        <f aca="true" t="shared" si="219" ref="M2890:M2896">K2890/L2890</f>
        <v>0.29</v>
      </c>
      <c r="N2890" s="36"/>
      <c r="O2890" s="81" t="s">
        <v>1595</v>
      </c>
    </row>
    <row r="2891" spans="9:15" ht="12.75">
      <c r="I2891" s="97" t="s">
        <v>814</v>
      </c>
      <c r="J2891" s="61"/>
      <c r="K2891" s="41">
        <v>29.88</v>
      </c>
      <c r="L2891" s="42">
        <v>100</v>
      </c>
      <c r="M2891" s="276">
        <f t="shared" si="219"/>
        <v>0.2988</v>
      </c>
      <c r="N2891" s="36"/>
      <c r="O2891" s="81" t="s">
        <v>2390</v>
      </c>
    </row>
    <row r="2892" spans="9:15" ht="12.75">
      <c r="I2892" s="71" t="s">
        <v>267</v>
      </c>
      <c r="J2892" s="96"/>
      <c r="K2892" s="29">
        <v>5</v>
      </c>
      <c r="L2892" s="30">
        <v>25</v>
      </c>
      <c r="M2892" s="116">
        <f t="shared" si="219"/>
        <v>0.2</v>
      </c>
      <c r="N2892" s="36"/>
      <c r="O2892" s="81" t="s">
        <v>1595</v>
      </c>
    </row>
    <row r="2893" spans="9:15" ht="12.75">
      <c r="I2893" s="71" t="s">
        <v>2705</v>
      </c>
      <c r="J2893" s="96"/>
      <c r="K2893" s="29">
        <v>17.09</v>
      </c>
      <c r="L2893" s="30">
        <v>100</v>
      </c>
      <c r="M2893" s="116">
        <f t="shared" si="219"/>
        <v>0.1709</v>
      </c>
      <c r="N2893" s="36"/>
      <c r="O2893" s="81" t="s">
        <v>289</v>
      </c>
    </row>
    <row r="2894" spans="9:15" ht="12.75">
      <c r="I2894" s="71" t="s">
        <v>2705</v>
      </c>
      <c r="J2894" s="96"/>
      <c r="K2894" s="29">
        <v>17.9</v>
      </c>
      <c r="L2894" s="30">
        <v>100</v>
      </c>
      <c r="M2894" s="116">
        <f t="shared" si="219"/>
        <v>0.179</v>
      </c>
      <c r="N2894" s="36"/>
      <c r="O2894" s="81" t="s">
        <v>2632</v>
      </c>
    </row>
    <row r="2895" spans="9:15" ht="12.75">
      <c r="I2895" s="86" t="s">
        <v>2562</v>
      </c>
      <c r="J2895" s="38"/>
      <c r="K2895" s="25">
        <v>15</v>
      </c>
      <c r="L2895" s="26">
        <v>20</v>
      </c>
      <c r="M2895" s="490">
        <f t="shared" si="219"/>
        <v>0.75</v>
      </c>
      <c r="N2895" s="36"/>
      <c r="O2895" s="832" t="s">
        <v>942</v>
      </c>
    </row>
    <row r="2896" spans="9:15" ht="12.75">
      <c r="I2896" s="119" t="s">
        <v>1720</v>
      </c>
      <c r="J2896" s="160"/>
      <c r="K2896" s="18">
        <v>26</v>
      </c>
      <c r="L2896" s="19">
        <v>100</v>
      </c>
      <c r="M2896" s="653">
        <f t="shared" si="219"/>
        <v>0.26</v>
      </c>
      <c r="N2896" s="36"/>
      <c r="O2896" s="81" t="s">
        <v>1226</v>
      </c>
    </row>
    <row r="2897" spans="9:15" ht="12.75">
      <c r="I2897" s="71" t="s">
        <v>2945</v>
      </c>
      <c r="J2897" s="96"/>
      <c r="K2897" s="29">
        <v>41.16</v>
      </c>
      <c r="L2897" s="30">
        <v>200</v>
      </c>
      <c r="M2897" s="116">
        <f aca="true" t="shared" si="220" ref="M2897:M2902">K2897/L2897</f>
        <v>0.20579999999999998</v>
      </c>
      <c r="N2897" s="36"/>
      <c r="O2897" s="81" t="s">
        <v>2570</v>
      </c>
    </row>
    <row r="2898" spans="9:15" ht="12.75">
      <c r="I2898" s="67" t="s">
        <v>1406</v>
      </c>
      <c r="J2898" s="164"/>
      <c r="K2898" s="68">
        <v>57.98</v>
      </c>
      <c r="L2898" s="69">
        <v>200</v>
      </c>
      <c r="M2898" s="68">
        <f t="shared" si="220"/>
        <v>0.2899</v>
      </c>
      <c r="N2898" s="69"/>
      <c r="O2898" s="81" t="s">
        <v>551</v>
      </c>
    </row>
    <row r="2899" spans="9:15" ht="12.75">
      <c r="I2899" s="67" t="s">
        <v>180</v>
      </c>
      <c r="J2899" s="164"/>
      <c r="K2899" s="68">
        <v>41.8</v>
      </c>
      <c r="L2899" s="69">
        <v>200</v>
      </c>
      <c r="M2899" s="68">
        <f t="shared" si="220"/>
        <v>0.209</v>
      </c>
      <c r="N2899" s="69"/>
      <c r="O2899" s="81" t="s">
        <v>820</v>
      </c>
    </row>
    <row r="2900" spans="9:15" ht="12.75">
      <c r="I2900" s="67" t="s">
        <v>194</v>
      </c>
      <c r="J2900" s="164"/>
      <c r="K2900" s="68">
        <v>24.5</v>
      </c>
      <c r="L2900" s="69">
        <v>100</v>
      </c>
      <c r="M2900" s="68">
        <f t="shared" si="220"/>
        <v>0.245</v>
      </c>
      <c r="N2900" s="69"/>
      <c r="O2900" s="81" t="s">
        <v>3106</v>
      </c>
    </row>
    <row r="2901" spans="7:15" ht="12.75">
      <c r="G2901" s="663"/>
      <c r="H2901" s="663"/>
      <c r="I2901" s="67" t="s">
        <v>195</v>
      </c>
      <c r="J2901" s="164"/>
      <c r="K2901" s="68">
        <v>23.9</v>
      </c>
      <c r="L2901" s="69">
        <v>100</v>
      </c>
      <c r="M2901" s="68">
        <f t="shared" si="220"/>
        <v>0.239</v>
      </c>
      <c r="N2901" s="69"/>
      <c r="O2901" s="81" t="s">
        <v>3106</v>
      </c>
    </row>
    <row r="2902" spans="9:15" ht="12.75">
      <c r="I2902" s="67" t="s">
        <v>2544</v>
      </c>
      <c r="J2902" s="164"/>
      <c r="K2902" s="68">
        <v>21</v>
      </c>
      <c r="L2902" s="69">
        <v>100</v>
      </c>
      <c r="M2902" s="68">
        <f t="shared" si="220"/>
        <v>0.21</v>
      </c>
      <c r="N2902" s="69" t="s">
        <v>2279</v>
      </c>
      <c r="O2902" s="81" t="s">
        <v>2613</v>
      </c>
    </row>
    <row r="2903" spans="9:15" ht="12.75">
      <c r="I2903" s="82"/>
      <c r="J2903" s="105"/>
      <c r="K2903" s="35"/>
      <c r="L2903" s="36"/>
      <c r="M2903" s="35"/>
      <c r="N2903" s="36"/>
      <c r="O2903" s="81"/>
    </row>
    <row r="2904" spans="9:14" ht="12.75">
      <c r="I2904" s="31"/>
      <c r="J2904" s="66"/>
      <c r="K2904" s="66"/>
      <c r="L2904" s="33"/>
      <c r="M2904" s="32"/>
      <c r="N2904" s="118"/>
    </row>
    <row r="2905" spans="9:14" ht="20.25">
      <c r="I2905" s="261" t="s">
        <v>2396</v>
      </c>
      <c r="J2905" s="105"/>
      <c r="M2905" s="64"/>
      <c r="N2905" s="65"/>
    </row>
    <row r="2906" spans="8:15" ht="12.75">
      <c r="H2906" s="1320"/>
      <c r="I2906" s="15" t="s">
        <v>3175</v>
      </c>
      <c r="J2906" s="55"/>
      <c r="K2906" s="16"/>
      <c r="L2906" s="7"/>
      <c r="M2906" s="16">
        <v>10</v>
      </c>
      <c r="N2906" s="440"/>
      <c r="O2906" s="716" t="s">
        <v>1985</v>
      </c>
    </row>
    <row r="2907" spans="2:15" ht="12.75">
      <c r="B2907" s="195">
        <v>25.7</v>
      </c>
      <c r="C2907" s="195">
        <v>13.5</v>
      </c>
      <c r="D2907" s="195">
        <v>57.1</v>
      </c>
      <c r="F2907" s="198">
        <v>2877</v>
      </c>
      <c r="G2907" s="195">
        <f>B2907/F2907*1000</f>
        <v>8.932916232186306</v>
      </c>
      <c r="H2907" s="1320">
        <f>M2907/F2907*100000</f>
        <v>363.84226400708627</v>
      </c>
      <c r="I2907" s="6" t="s">
        <v>2215</v>
      </c>
      <c r="J2907" s="55"/>
      <c r="K2907" s="16">
        <v>6.49</v>
      </c>
      <c r="L2907" s="7">
        <v>620</v>
      </c>
      <c r="M2907" s="16">
        <f>K2907/L2907*1000</f>
        <v>10.467741935483872</v>
      </c>
      <c r="N2907" s="440"/>
      <c r="O2907" s="448" t="s">
        <v>3169</v>
      </c>
    </row>
    <row r="2908" spans="2:15" ht="12.75">
      <c r="B2908" s="195">
        <v>25.7</v>
      </c>
      <c r="C2908" s="195">
        <v>13.5</v>
      </c>
      <c r="D2908" s="195">
        <v>57.1</v>
      </c>
      <c r="F2908" s="198">
        <v>2877</v>
      </c>
      <c r="G2908" s="195">
        <f>B2908/F2908*1000</f>
        <v>8.932916232186306</v>
      </c>
      <c r="H2908" s="1320">
        <f>M2908/F2908*100000</f>
        <v>335.81127294336625</v>
      </c>
      <c r="I2908" s="123" t="s">
        <v>2215</v>
      </c>
      <c r="J2908" s="162"/>
      <c r="K2908" s="148">
        <v>5.99</v>
      </c>
      <c r="L2908" s="149">
        <v>620</v>
      </c>
      <c r="M2908" s="148">
        <f>K2908/L2908*1000</f>
        <v>9.661290322580646</v>
      </c>
      <c r="N2908" s="440"/>
      <c r="O2908" s="448" t="s">
        <v>2514</v>
      </c>
    </row>
    <row r="2909" spans="2:15" ht="12.75">
      <c r="B2909" s="195">
        <v>27</v>
      </c>
      <c r="C2909" s="195">
        <v>10</v>
      </c>
      <c r="D2909" s="195">
        <v>60</v>
      </c>
      <c r="F2909" s="198">
        <v>2843</v>
      </c>
      <c r="G2909" s="195">
        <f>B2909/F2909*1000</f>
        <v>9.497010200492436</v>
      </c>
      <c r="H2909" s="1320">
        <f>M2909/F2909*100000</f>
        <v>280.6894125923321</v>
      </c>
      <c r="I2909" s="6" t="s">
        <v>2708</v>
      </c>
      <c r="J2909" s="55"/>
      <c r="K2909" s="16">
        <v>3.99</v>
      </c>
      <c r="L2909" s="7">
        <v>500</v>
      </c>
      <c r="M2909" s="16">
        <f aca="true" t="shared" si="221" ref="M2909:M2924">K2909/L2909*1000</f>
        <v>7.980000000000001</v>
      </c>
      <c r="N2909" s="440"/>
      <c r="O2909" s="448" t="s">
        <v>956</v>
      </c>
    </row>
    <row r="2910" spans="1:16" ht="12.75">
      <c r="A2910" s="447"/>
      <c r="B2910" s="319"/>
      <c r="C2910" s="319"/>
      <c r="D2910" s="319"/>
      <c r="E2910" s="735"/>
      <c r="F2910" s="483"/>
      <c r="I2910" s="378" t="s">
        <v>1462</v>
      </c>
      <c r="J2910" s="379"/>
      <c r="K2910" s="7">
        <v>2.79</v>
      </c>
      <c r="L2910" s="7">
        <v>300</v>
      </c>
      <c r="M2910" s="16">
        <f t="shared" si="221"/>
        <v>9.3</v>
      </c>
      <c r="N2910" s="672"/>
      <c r="O2910" s="448" t="s">
        <v>1769</v>
      </c>
      <c r="P2910" s="447"/>
    </row>
    <row r="2911" spans="1:16" s="3" customFormat="1" ht="12.75" customHeight="1">
      <c r="A2911" s="447"/>
      <c r="B2911" s="319"/>
      <c r="C2911" s="319"/>
      <c r="D2911" s="319"/>
      <c r="E2911" s="735"/>
      <c r="F2911" s="483"/>
      <c r="G2911" s="195"/>
      <c r="H2911" s="195"/>
      <c r="I2911" s="378" t="s">
        <v>1618</v>
      </c>
      <c r="J2911" s="379"/>
      <c r="K2911" s="114">
        <v>2.79</v>
      </c>
      <c r="L2911" s="114">
        <v>300</v>
      </c>
      <c r="M2911" s="113">
        <f t="shared" si="221"/>
        <v>9.3</v>
      </c>
      <c r="N2911" s="672"/>
      <c r="O2911" s="448" t="s">
        <v>2778</v>
      </c>
      <c r="P2911" s="447"/>
    </row>
    <row r="2912" spans="1:16" s="3" customFormat="1" ht="12.75" customHeight="1">
      <c r="A2912" s="447"/>
      <c r="B2912" s="319"/>
      <c r="C2912" s="319"/>
      <c r="D2912" s="319"/>
      <c r="E2912" s="735"/>
      <c r="F2912" s="483"/>
      <c r="G2912" s="195"/>
      <c r="H2912" s="195"/>
      <c r="I2912" s="378" t="s">
        <v>349</v>
      </c>
      <c r="J2912" s="379"/>
      <c r="K2912" s="42">
        <v>12.32</v>
      </c>
      <c r="L2912" s="42">
        <v>1000</v>
      </c>
      <c r="M2912" s="25">
        <f t="shared" si="221"/>
        <v>12.32</v>
      </c>
      <c r="N2912" s="672"/>
      <c r="O2912" s="448" t="s">
        <v>2384</v>
      </c>
      <c r="P2912" s="447"/>
    </row>
    <row r="2913" spans="1:16" s="3" customFormat="1" ht="12.75" customHeight="1">
      <c r="A2913"/>
      <c r="B2913" s="195"/>
      <c r="C2913" s="195"/>
      <c r="D2913" s="195"/>
      <c r="E2913" s="732"/>
      <c r="F2913" s="198"/>
      <c r="G2913" s="195"/>
      <c r="H2913" s="195"/>
      <c r="I2913" s="37" t="s">
        <v>1534</v>
      </c>
      <c r="J2913" s="38"/>
      <c r="K2913" s="26">
        <v>3.79</v>
      </c>
      <c r="L2913" s="26">
        <v>300</v>
      </c>
      <c r="M2913" s="25">
        <f t="shared" si="221"/>
        <v>12.633333333333333</v>
      </c>
      <c r="N2913" s="309"/>
      <c r="O2913" s="716" t="s">
        <v>2455</v>
      </c>
      <c r="P2913"/>
    </row>
    <row r="2914" spans="1:16" s="3" customFormat="1" ht="12.75">
      <c r="A2914"/>
      <c r="B2914" s="195"/>
      <c r="C2914" s="195"/>
      <c r="D2914" s="195"/>
      <c r="E2914" s="732"/>
      <c r="F2914" s="198"/>
      <c r="G2914" s="195"/>
      <c r="H2914" s="195"/>
      <c r="I2914" s="43" t="s">
        <v>1533</v>
      </c>
      <c r="J2914" s="55"/>
      <c r="K2914" s="7">
        <v>5.49</v>
      </c>
      <c r="L2914" s="7">
        <v>620</v>
      </c>
      <c r="M2914" s="16">
        <f t="shared" si="221"/>
        <v>8.85483870967742</v>
      </c>
      <c r="N2914" s="309"/>
      <c r="O2914" s="716" t="s">
        <v>2455</v>
      </c>
      <c r="P2914"/>
    </row>
    <row r="2915" spans="1:16" s="3" customFormat="1" ht="12.75">
      <c r="A2915"/>
      <c r="B2915" s="195"/>
      <c r="C2915" s="195"/>
      <c r="D2915" s="195"/>
      <c r="E2915" s="732"/>
      <c r="F2915" s="198"/>
      <c r="G2915" s="195"/>
      <c r="H2915" s="195"/>
      <c r="I2915" s="43" t="s">
        <v>2860</v>
      </c>
      <c r="J2915" s="55"/>
      <c r="K2915" s="7">
        <v>9.49</v>
      </c>
      <c r="L2915" s="7">
        <v>1100</v>
      </c>
      <c r="M2915" s="16">
        <f t="shared" si="221"/>
        <v>8.627272727272729</v>
      </c>
      <c r="N2915" s="309"/>
      <c r="O2915" s="716" t="s">
        <v>161</v>
      </c>
      <c r="P2915"/>
    </row>
    <row r="2916" spans="9:15" ht="12.75">
      <c r="I2916" s="37" t="s">
        <v>2517</v>
      </c>
      <c r="J2916" s="55"/>
      <c r="K2916" s="25">
        <v>5.39</v>
      </c>
      <c r="L2916" s="26">
        <v>600</v>
      </c>
      <c r="M2916" s="25">
        <f t="shared" si="221"/>
        <v>8.983333333333333</v>
      </c>
      <c r="N2916" s="131"/>
      <c r="O2916" s="448" t="s">
        <v>2256</v>
      </c>
    </row>
    <row r="2917" spans="1:16" s="3" customFormat="1" ht="12.75">
      <c r="A2917"/>
      <c r="B2917" s="195">
        <v>27</v>
      </c>
      <c r="C2917" s="195">
        <v>10</v>
      </c>
      <c r="D2917" s="195">
        <v>60</v>
      </c>
      <c r="E2917" s="732"/>
      <c r="F2917" s="198">
        <v>2843</v>
      </c>
      <c r="G2917" s="195">
        <f>B2917/F2917*1000</f>
        <v>9.497010200492436</v>
      </c>
      <c r="H2917" s="1320">
        <f>M2917/F2917*100000</f>
        <v>309.5166891088864</v>
      </c>
      <c r="I2917" s="6" t="s">
        <v>3053</v>
      </c>
      <c r="J2917" s="55"/>
      <c r="K2917" s="16">
        <v>7.99</v>
      </c>
      <c r="L2917" s="7">
        <v>908</v>
      </c>
      <c r="M2917" s="16">
        <f t="shared" si="221"/>
        <v>8.79955947136564</v>
      </c>
      <c r="N2917" s="440"/>
      <c r="O2917" s="448" t="s">
        <v>175</v>
      </c>
      <c r="P2917"/>
    </row>
    <row r="2918" spans="1:16" s="3" customFormat="1" ht="12.75">
      <c r="A2918"/>
      <c r="B2918" s="195">
        <v>23</v>
      </c>
      <c r="C2918" s="195">
        <v>12.5</v>
      </c>
      <c r="D2918" s="195">
        <v>58</v>
      </c>
      <c r="E2918" s="732"/>
      <c r="F2918" s="198">
        <v>2766</v>
      </c>
      <c r="G2918" s="195">
        <f>B2918/F2918*1000</f>
        <v>8.315256688358641</v>
      </c>
      <c r="H2918" s="1320">
        <f>M2918/F2918*100000</f>
        <v>289.22631959508317</v>
      </c>
      <c r="I2918" s="6" t="s">
        <v>3052</v>
      </c>
      <c r="J2918" s="55"/>
      <c r="K2918" s="16">
        <v>4</v>
      </c>
      <c r="L2918" s="7">
        <v>500</v>
      </c>
      <c r="M2918" s="16">
        <f t="shared" si="221"/>
        <v>8</v>
      </c>
      <c r="N2918" s="440"/>
      <c r="O2918" s="448" t="s">
        <v>175</v>
      </c>
      <c r="P2918"/>
    </row>
    <row r="2919" spans="1:16" s="3" customFormat="1" ht="12.75">
      <c r="A2919"/>
      <c r="B2919" s="195"/>
      <c r="C2919" s="195"/>
      <c r="D2919" s="195"/>
      <c r="E2919" s="732"/>
      <c r="F2919" s="198"/>
      <c r="G2919" s="195"/>
      <c r="H2919" s="195"/>
      <c r="I2919" s="6" t="s">
        <v>1820</v>
      </c>
      <c r="J2919" s="55"/>
      <c r="K2919" s="16">
        <v>5.99</v>
      </c>
      <c r="L2919" s="7">
        <v>1000</v>
      </c>
      <c r="M2919" s="16">
        <f t="shared" si="221"/>
        <v>5.99</v>
      </c>
      <c r="N2919" s="440"/>
      <c r="O2919" s="448" t="s">
        <v>2402</v>
      </c>
      <c r="P2919"/>
    </row>
    <row r="2920" spans="1:16" s="10" customFormat="1" ht="12.75">
      <c r="A2920"/>
      <c r="B2920" s="195"/>
      <c r="C2920" s="195"/>
      <c r="D2920" s="195"/>
      <c r="E2920" s="732"/>
      <c r="F2920" s="198"/>
      <c r="G2920" s="195"/>
      <c r="H2920" s="195"/>
      <c r="I2920" s="123" t="s">
        <v>2215</v>
      </c>
      <c r="J2920" s="162"/>
      <c r="K2920" s="148">
        <v>4.99</v>
      </c>
      <c r="L2920" s="149">
        <v>620</v>
      </c>
      <c r="M2920" s="148">
        <f t="shared" si="221"/>
        <v>8.048387096774194</v>
      </c>
      <c r="N2920" s="131"/>
      <c r="O2920" s="448" t="s">
        <v>2768</v>
      </c>
      <c r="P2920"/>
    </row>
    <row r="2921" spans="1:16" s="3" customFormat="1" ht="12.75">
      <c r="A2921"/>
      <c r="B2921" s="195"/>
      <c r="C2921" s="195"/>
      <c r="D2921" s="195"/>
      <c r="E2921" s="732"/>
      <c r="F2921" s="198"/>
      <c r="G2921" s="195"/>
      <c r="H2921" s="195"/>
      <c r="I2921" s="123" t="s">
        <v>2215</v>
      </c>
      <c r="J2921" s="162"/>
      <c r="K2921" s="148">
        <v>3.99</v>
      </c>
      <c r="L2921" s="149">
        <v>620</v>
      </c>
      <c r="M2921" s="148">
        <f t="shared" si="221"/>
        <v>6.435483870967742</v>
      </c>
      <c r="N2921" s="131"/>
      <c r="O2921" s="448" t="s">
        <v>2256</v>
      </c>
      <c r="P2921"/>
    </row>
    <row r="2922" spans="1:16" s="3" customFormat="1" ht="12.75">
      <c r="A2922"/>
      <c r="B2922" s="195"/>
      <c r="C2922" s="195"/>
      <c r="D2922" s="195"/>
      <c r="E2922" s="732"/>
      <c r="F2922" s="198"/>
      <c r="G2922" s="195"/>
      <c r="H2922" s="195"/>
      <c r="I2922" s="979" t="s">
        <v>2215</v>
      </c>
      <c r="J2922" s="1013"/>
      <c r="K2922" s="1014">
        <v>4.99</v>
      </c>
      <c r="L2922" s="364">
        <v>620</v>
      </c>
      <c r="M2922" s="1014">
        <f t="shared" si="221"/>
        <v>8.048387096774194</v>
      </c>
      <c r="N2922" s="131"/>
      <c r="O2922" s="716" t="s">
        <v>1738</v>
      </c>
      <c r="P2922"/>
    </row>
    <row r="2923" spans="1:16" s="10" customFormat="1" ht="12.75">
      <c r="A2923"/>
      <c r="B2923" s="195"/>
      <c r="C2923" s="195"/>
      <c r="D2923" s="195"/>
      <c r="E2923" s="732"/>
      <c r="F2923" s="198"/>
      <c r="G2923" s="195"/>
      <c r="H2923" s="195"/>
      <c r="I2923" s="109" t="s">
        <v>1598</v>
      </c>
      <c r="J2923" s="924"/>
      <c r="K2923" s="774">
        <v>3.99</v>
      </c>
      <c r="L2923" s="922">
        <v>620</v>
      </c>
      <c r="M2923" s="774">
        <f t="shared" si="221"/>
        <v>6.435483870967742</v>
      </c>
      <c r="N2923" s="26"/>
      <c r="O2923" s="448" t="s">
        <v>1868</v>
      </c>
      <c r="P2923"/>
    </row>
    <row r="2924" spans="1:16" ht="12.75">
      <c r="A2924" s="447"/>
      <c r="B2924" s="319"/>
      <c r="C2924" s="319"/>
      <c r="D2924" s="319"/>
      <c r="E2924" s="735"/>
      <c r="F2924" s="483"/>
      <c r="I2924" s="15" t="s">
        <v>559</v>
      </c>
      <c r="J2924" s="152"/>
      <c r="K2924" s="152">
        <v>32.9</v>
      </c>
      <c r="L2924" s="128">
        <v>4000</v>
      </c>
      <c r="M2924" s="129">
        <f t="shared" si="221"/>
        <v>8.225</v>
      </c>
      <c r="N2924" s="1151"/>
      <c r="O2924" s="716" t="s">
        <v>1199</v>
      </c>
      <c r="P2924" s="447"/>
    </row>
    <row r="2925" spans="1:16" ht="12.75">
      <c r="A2925" s="447"/>
      <c r="B2925" s="319"/>
      <c r="C2925" s="319"/>
      <c r="D2925" s="319"/>
      <c r="E2925" s="735"/>
      <c r="F2925" s="483"/>
      <c r="I2925" s="21" t="s">
        <v>559</v>
      </c>
      <c r="J2925" s="120"/>
      <c r="K2925" s="120"/>
      <c r="L2925" s="23">
        <v>4000</v>
      </c>
      <c r="M2925" s="22">
        <v>7.48</v>
      </c>
      <c r="N2925" s="672"/>
      <c r="O2925" s="716" t="s">
        <v>3065</v>
      </c>
      <c r="P2925" s="447"/>
    </row>
    <row r="2926" spans="1:16" s="10" customFormat="1" ht="12.75">
      <c r="A2926"/>
      <c r="B2926" s="195"/>
      <c r="C2926" s="195"/>
      <c r="D2926" s="195"/>
      <c r="E2926" s="732"/>
      <c r="F2926" s="198"/>
      <c r="G2926" s="195"/>
      <c r="H2926" s="195"/>
      <c r="I2926" s="56" t="s">
        <v>2348</v>
      </c>
      <c r="J2926" s="594"/>
      <c r="K2926" s="685"/>
      <c r="L2926" s="20">
        <v>1100</v>
      </c>
      <c r="M2926" s="57">
        <v>7.26</v>
      </c>
      <c r="N2926" s="443"/>
      <c r="O2926" s="716" t="s">
        <v>2174</v>
      </c>
      <c r="P2926"/>
    </row>
    <row r="2927" spans="9:15" ht="12.75">
      <c r="I2927" s="37" t="s">
        <v>1598</v>
      </c>
      <c r="J2927" s="156"/>
      <c r="K2927" s="25">
        <v>7.99</v>
      </c>
      <c r="L2927" s="26">
        <v>1100</v>
      </c>
      <c r="M2927" s="25">
        <f>K2927/L2927*1000</f>
        <v>7.263636363636364</v>
      </c>
      <c r="N2927" s="443"/>
      <c r="O2927" s="716" t="s">
        <v>2174</v>
      </c>
    </row>
    <row r="2928" spans="9:15" ht="12.75">
      <c r="I2928" s="56" t="s">
        <v>1598</v>
      </c>
      <c r="J2928" s="156"/>
      <c r="K2928" s="25">
        <v>7.49</v>
      </c>
      <c r="L2928" s="26">
        <v>1100</v>
      </c>
      <c r="M2928" s="25">
        <f>K2928/L2928*1000</f>
        <v>6.8090909090909095</v>
      </c>
      <c r="N2928" s="443"/>
      <c r="O2928" s="716" t="s">
        <v>2174</v>
      </c>
    </row>
    <row r="2929" spans="9:15" ht="12.75">
      <c r="I2929" s="56" t="s">
        <v>649</v>
      </c>
      <c r="J2929" s="156"/>
      <c r="K2929" s="57"/>
      <c r="L2929" s="20">
        <v>4000</v>
      </c>
      <c r="M2929" s="25">
        <v>8.23</v>
      </c>
      <c r="N2929" s="662"/>
      <c r="O2929" s="716" t="s">
        <v>2174</v>
      </c>
    </row>
    <row r="2930" spans="9:15" ht="12.75">
      <c r="I2930" s="123" t="s">
        <v>1463</v>
      </c>
      <c r="J2930" s="162"/>
      <c r="K2930" s="148">
        <v>8.9</v>
      </c>
      <c r="L2930" s="149">
        <v>1550</v>
      </c>
      <c r="M2930" s="721">
        <f>K2930/L2930*1000</f>
        <v>5.741935483870968</v>
      </c>
      <c r="N2930" s="662" t="s">
        <v>1464</v>
      </c>
      <c r="O2930" s="448" t="s">
        <v>2127</v>
      </c>
    </row>
    <row r="2931" spans="1:16" s="3" customFormat="1" ht="12.75">
      <c r="A2931"/>
      <c r="B2931" s="195"/>
      <c r="C2931" s="195"/>
      <c r="D2931" s="195"/>
      <c r="E2931" s="732"/>
      <c r="F2931" s="198"/>
      <c r="G2931" s="195"/>
      <c r="H2931" s="195"/>
      <c r="I2931" s="123" t="s">
        <v>2342</v>
      </c>
      <c r="J2931" s="162"/>
      <c r="K2931" s="149">
        <v>7.99</v>
      </c>
      <c r="L2931" s="414">
        <v>1550</v>
      </c>
      <c r="M2931" s="721">
        <f>K2931/L2931*1000</f>
        <v>5.15483870967742</v>
      </c>
      <c r="N2931" s="662" t="s">
        <v>876</v>
      </c>
      <c r="O2931" s="448" t="s">
        <v>2320</v>
      </c>
      <c r="P2931"/>
    </row>
    <row r="2932" spans="9:15" ht="12.75">
      <c r="I2932" s="6" t="s">
        <v>2240</v>
      </c>
      <c r="J2932" s="55"/>
      <c r="K2932" s="7">
        <v>3.59</v>
      </c>
      <c r="L2932" s="349">
        <v>600</v>
      </c>
      <c r="M2932" s="129">
        <f>K2932/L2932*1000</f>
        <v>5.9833333333333325</v>
      </c>
      <c r="N2932" s="309"/>
      <c r="O2932" s="716" t="s">
        <v>337</v>
      </c>
    </row>
    <row r="2933" spans="9:15" ht="12.75">
      <c r="I2933" s="6" t="s">
        <v>1127</v>
      </c>
      <c r="J2933" s="55"/>
      <c r="K2933" s="7">
        <v>24.9</v>
      </c>
      <c r="L2933" s="349">
        <v>4000</v>
      </c>
      <c r="M2933" s="129">
        <f>K2933/L2933*1000</f>
        <v>6.225</v>
      </c>
      <c r="N2933" s="309"/>
      <c r="O2933" s="716" t="s">
        <v>2568</v>
      </c>
    </row>
    <row r="2934" spans="9:15" ht="12.75">
      <c r="I2934" s="6" t="s">
        <v>2860</v>
      </c>
      <c r="J2934" s="55"/>
      <c r="K2934" s="7">
        <v>7.49</v>
      </c>
      <c r="L2934" s="349">
        <v>1100</v>
      </c>
      <c r="M2934" s="129">
        <f>K2934/L2934*1000</f>
        <v>6.8090909090909095</v>
      </c>
      <c r="N2934" s="309"/>
      <c r="O2934" s="716" t="s">
        <v>337</v>
      </c>
    </row>
    <row r="2935" spans="9:15" ht="12.75">
      <c r="I2935" s="123" t="s">
        <v>1063</v>
      </c>
      <c r="J2935" s="162"/>
      <c r="K2935" s="148">
        <v>4.99</v>
      </c>
      <c r="L2935" s="149">
        <v>1100</v>
      </c>
      <c r="M2935" s="148">
        <f aca="true" t="shared" si="222" ref="M2935:M2945">K2935/L2935*1000</f>
        <v>4.536363636363637</v>
      </c>
      <c r="N2935" s="309"/>
      <c r="O2935" s="24" t="s">
        <v>2475</v>
      </c>
    </row>
    <row r="2936" spans="9:15" ht="12.75">
      <c r="I2936" s="123" t="s">
        <v>1894</v>
      </c>
      <c r="J2936" s="162"/>
      <c r="K2936" s="148">
        <v>2.8</v>
      </c>
      <c r="L2936" s="149">
        <v>630</v>
      </c>
      <c r="M2936" s="148">
        <f t="shared" si="222"/>
        <v>4.444444444444445</v>
      </c>
      <c r="N2936" s="309"/>
      <c r="O2936" s="24" t="s">
        <v>1304</v>
      </c>
    </row>
    <row r="2937" spans="9:15" ht="12.75">
      <c r="I2937" s="56" t="s">
        <v>1894</v>
      </c>
      <c r="J2937" s="156"/>
      <c r="K2937" s="57">
        <v>1.99</v>
      </c>
      <c r="L2937" s="20">
        <v>300</v>
      </c>
      <c r="M2937" s="57">
        <f t="shared" si="222"/>
        <v>6.633333333333333</v>
      </c>
      <c r="N2937" s="309"/>
      <c r="O2937" s="24" t="s">
        <v>326</v>
      </c>
    </row>
    <row r="2938" spans="9:15" ht="12.75">
      <c r="I2938" s="56" t="s">
        <v>2114</v>
      </c>
      <c r="J2938" s="156"/>
      <c r="K2938" s="57">
        <v>1.6</v>
      </c>
      <c r="L2938" s="20">
        <v>300</v>
      </c>
      <c r="M2938" s="57">
        <f t="shared" si="222"/>
        <v>5.333333333333334</v>
      </c>
      <c r="N2938" s="309"/>
      <c r="O2938" s="24" t="s">
        <v>326</v>
      </c>
    </row>
    <row r="2939" spans="1:16" s="447" customFormat="1" ht="12.75" customHeight="1">
      <c r="A2939"/>
      <c r="B2939" s="195"/>
      <c r="C2939" s="195"/>
      <c r="D2939" s="195"/>
      <c r="E2939" s="732"/>
      <c r="F2939" s="198"/>
      <c r="G2939" s="195"/>
      <c r="H2939" s="195"/>
      <c r="I2939" s="6" t="s">
        <v>950</v>
      </c>
      <c r="J2939" s="55"/>
      <c r="K2939" s="16">
        <v>2.7</v>
      </c>
      <c r="L2939" s="7">
        <v>630</v>
      </c>
      <c r="M2939" s="16">
        <f t="shared" si="222"/>
        <v>4.285714285714286</v>
      </c>
      <c r="N2939" s="662" t="s">
        <v>629</v>
      </c>
      <c r="O2939" s="24" t="s">
        <v>219</v>
      </c>
      <c r="P2939"/>
    </row>
    <row r="2940" spans="1:16" s="447" customFormat="1" ht="12.75" customHeight="1">
      <c r="A2940"/>
      <c r="B2940" s="441"/>
      <c r="C2940" s="441"/>
      <c r="D2940" s="441"/>
      <c r="E2940" s="748"/>
      <c r="F2940" s="442"/>
      <c r="G2940" s="441"/>
      <c r="H2940" s="441"/>
      <c r="I2940" s="380" t="s">
        <v>1977</v>
      </c>
      <c r="J2940" s="379"/>
      <c r="K2940" s="504">
        <v>1.59</v>
      </c>
      <c r="L2940" s="350">
        <v>290</v>
      </c>
      <c r="M2940" s="504">
        <f t="shared" si="222"/>
        <v>5.482758620689656</v>
      </c>
      <c r="N2940" s="505"/>
      <c r="O2940" s="506" t="s">
        <v>540</v>
      </c>
      <c r="P2940"/>
    </row>
    <row r="2941" spans="1:16" s="447" customFormat="1" ht="12.75" customHeight="1">
      <c r="A2941"/>
      <c r="B2941" s="507"/>
      <c r="C2941" s="507"/>
      <c r="D2941" s="507"/>
      <c r="E2941" s="752"/>
      <c r="F2941" s="508"/>
      <c r="G2941" s="507"/>
      <c r="H2941" s="507"/>
      <c r="I2941" s="380" t="s">
        <v>2601</v>
      </c>
      <c r="J2941" s="509"/>
      <c r="K2941" s="504">
        <v>24.9</v>
      </c>
      <c r="L2941" s="350">
        <v>4000</v>
      </c>
      <c r="M2941" s="504">
        <f t="shared" si="222"/>
        <v>6.225</v>
      </c>
      <c r="N2941" s="510"/>
      <c r="O2941" s="506" t="s">
        <v>2542</v>
      </c>
      <c r="P2941"/>
    </row>
    <row r="2942" spans="2:15" ht="12.75">
      <c r="B2942" s="507"/>
      <c r="C2942" s="507"/>
      <c r="D2942" s="507"/>
      <c r="E2942" s="752"/>
      <c r="F2942" s="508"/>
      <c r="G2942" s="507"/>
      <c r="H2942" s="507"/>
      <c r="I2942" s="511" t="s">
        <v>231</v>
      </c>
      <c r="J2942" s="434"/>
      <c r="K2942" s="512">
        <v>5.99</v>
      </c>
      <c r="L2942" s="513">
        <v>1650</v>
      </c>
      <c r="M2942" s="512">
        <f t="shared" si="222"/>
        <v>3.6303030303030304</v>
      </c>
      <c r="N2942" s="510"/>
      <c r="O2942" s="506" t="s">
        <v>2310</v>
      </c>
    </row>
    <row r="2943" spans="2:15" ht="12.75">
      <c r="B2943" s="507"/>
      <c r="C2943" s="507"/>
      <c r="D2943" s="507"/>
      <c r="E2943" s="752"/>
      <c r="F2943" s="508"/>
      <c r="G2943" s="507"/>
      <c r="H2943" s="507"/>
      <c r="I2943" s="433" t="s">
        <v>1064</v>
      </c>
      <c r="J2943" s="434"/>
      <c r="K2943" s="408">
        <v>2.69</v>
      </c>
      <c r="L2943" s="409">
        <v>600</v>
      </c>
      <c r="M2943" s="408">
        <f t="shared" si="222"/>
        <v>4.483333333333333</v>
      </c>
      <c r="N2943" s="510"/>
      <c r="O2943" s="506" t="s">
        <v>326</v>
      </c>
    </row>
    <row r="2944" spans="2:16" ht="15.75">
      <c r="B2944" s="507"/>
      <c r="C2944" s="507"/>
      <c r="D2944" s="507"/>
      <c r="E2944" s="752"/>
      <c r="F2944" s="508"/>
      <c r="G2944" s="507"/>
      <c r="H2944" s="507"/>
      <c r="I2944" s="433" t="s">
        <v>229</v>
      </c>
      <c r="J2944" s="434"/>
      <c r="K2944" s="408">
        <v>2.39</v>
      </c>
      <c r="L2944" s="409">
        <v>620</v>
      </c>
      <c r="M2944" s="408">
        <f t="shared" si="222"/>
        <v>3.8548387096774195</v>
      </c>
      <c r="N2944" s="510"/>
      <c r="O2944" s="506" t="s">
        <v>2526</v>
      </c>
      <c r="P2944" s="289" t="s">
        <v>2859</v>
      </c>
    </row>
    <row r="2945" spans="1:16" ht="12.75">
      <c r="A2945" s="10"/>
      <c r="B2945" s="514"/>
      <c r="C2945" s="514"/>
      <c r="D2945" s="514"/>
      <c r="E2945" s="753"/>
      <c r="F2945" s="515"/>
      <c r="G2945" s="514"/>
      <c r="H2945" s="514"/>
      <c r="I2945" s="559" t="s">
        <v>229</v>
      </c>
      <c r="J2945" s="560"/>
      <c r="K2945" s="561">
        <v>2.49</v>
      </c>
      <c r="L2945" s="562">
        <v>620</v>
      </c>
      <c r="M2945" s="561">
        <f t="shared" si="222"/>
        <v>4.016129032258064</v>
      </c>
      <c r="N2945" s="563"/>
      <c r="O2945" s="517" t="s">
        <v>1456</v>
      </c>
      <c r="P2945" s="10"/>
    </row>
    <row r="2946" spans="10:12" ht="15">
      <c r="J2946" s="105"/>
      <c r="L2946" s="49"/>
    </row>
    <row r="2947" spans="9:14" ht="20.25">
      <c r="I2947" s="595" t="s">
        <v>299</v>
      </c>
      <c r="J2947" s="105"/>
      <c r="M2947" s="64"/>
      <c r="N2947" s="65"/>
    </row>
    <row r="2948" spans="2:15" ht="12.75">
      <c r="B2948" s="507"/>
      <c r="C2948" s="507"/>
      <c r="D2948" s="507"/>
      <c r="E2948" s="752"/>
      <c r="F2948" s="508"/>
      <c r="G2948" s="507"/>
      <c r="H2948" s="507"/>
      <c r="I2948" s="97" t="s">
        <v>1674</v>
      </c>
      <c r="J2948" s="61"/>
      <c r="K2948" s="61">
        <v>14.63</v>
      </c>
      <c r="L2948" s="42">
        <v>1000</v>
      </c>
      <c r="M2948" s="276">
        <f>K2948/L2948*1000</f>
        <v>14.63</v>
      </c>
      <c r="N2948" s="671"/>
      <c r="O2948" s="669" t="s">
        <v>175</v>
      </c>
    </row>
    <row r="2949" spans="2:15" ht="12.75">
      <c r="B2949" s="507"/>
      <c r="C2949" s="507"/>
      <c r="D2949" s="507"/>
      <c r="E2949" s="752"/>
      <c r="F2949" s="508"/>
      <c r="G2949" s="507"/>
      <c r="H2949" s="507"/>
      <c r="I2949" s="97" t="s">
        <v>495</v>
      </c>
      <c r="J2949" s="61"/>
      <c r="K2949" s="61">
        <v>4.79</v>
      </c>
      <c r="L2949" s="42">
        <v>330</v>
      </c>
      <c r="M2949" s="276">
        <f>K2949/L2949*1000</f>
        <v>14.515151515151516</v>
      </c>
      <c r="N2949" s="671"/>
      <c r="O2949" s="669" t="s">
        <v>2164</v>
      </c>
    </row>
    <row r="2950" spans="2:15" ht="12.75">
      <c r="B2950" s="507"/>
      <c r="C2950" s="507"/>
      <c r="D2950" s="507"/>
      <c r="E2950" s="752"/>
      <c r="F2950" s="508"/>
      <c r="G2950" s="507"/>
      <c r="H2950" s="507"/>
      <c r="I2950" s="119" t="s">
        <v>495</v>
      </c>
      <c r="J2950" s="160"/>
      <c r="K2950" s="160">
        <v>4.99</v>
      </c>
      <c r="L2950" s="19">
        <v>330</v>
      </c>
      <c r="M2950" s="653">
        <f aca="true" t="shared" si="223" ref="M2950:M2955">K2950/L2950*1000</f>
        <v>15.121212121212123</v>
      </c>
      <c r="N2950" s="671"/>
      <c r="O2950" s="669" t="s">
        <v>1607</v>
      </c>
    </row>
    <row r="2951" spans="2:15" ht="12.75">
      <c r="B2951" s="507"/>
      <c r="C2951" s="507"/>
      <c r="D2951" s="507"/>
      <c r="E2951" s="752"/>
      <c r="F2951" s="508"/>
      <c r="G2951" s="507"/>
      <c r="H2951" s="507"/>
      <c r="I2951" s="119" t="s">
        <v>495</v>
      </c>
      <c r="J2951" s="160"/>
      <c r="K2951" s="160">
        <v>4.69</v>
      </c>
      <c r="L2951" s="19">
        <v>330</v>
      </c>
      <c r="M2951" s="653">
        <f t="shared" si="223"/>
        <v>14.212121212121215</v>
      </c>
      <c r="N2951" s="671"/>
      <c r="O2951" s="669" t="s">
        <v>1458</v>
      </c>
    </row>
    <row r="2952" spans="2:15" ht="12.75">
      <c r="B2952" s="507"/>
      <c r="C2952" s="507"/>
      <c r="D2952" s="507"/>
      <c r="E2952" s="752"/>
      <c r="F2952" s="508"/>
      <c r="G2952" s="507"/>
      <c r="H2952" s="507"/>
      <c r="I2952" s="28" t="s">
        <v>1786</v>
      </c>
      <c r="J2952" s="96"/>
      <c r="K2952" s="111">
        <v>4.79</v>
      </c>
      <c r="L2952" s="30">
        <v>330</v>
      </c>
      <c r="M2952" s="116">
        <f t="shared" si="223"/>
        <v>14.515151515151516</v>
      </c>
      <c r="N2952" s="671"/>
      <c r="O2952" s="669" t="s">
        <v>1910</v>
      </c>
    </row>
    <row r="2953" spans="1:16" s="447" customFormat="1" ht="12.75" customHeight="1">
      <c r="A2953" s="3"/>
      <c r="B2953" s="518"/>
      <c r="C2953" s="518"/>
      <c r="D2953" s="518"/>
      <c r="E2953" s="754"/>
      <c r="F2953" s="519"/>
      <c r="G2953" s="518"/>
      <c r="H2953" s="518"/>
      <c r="I2953" s="71" t="s">
        <v>664</v>
      </c>
      <c r="J2953" s="729">
        <f>K2953/6</f>
        <v>4.49</v>
      </c>
      <c r="K2953" s="111">
        <v>26.94</v>
      </c>
      <c r="L2953" s="30">
        <f>330*6</f>
        <v>1980</v>
      </c>
      <c r="M2953" s="116">
        <f t="shared" si="223"/>
        <v>13.606060606060606</v>
      </c>
      <c r="N2953" s="671"/>
      <c r="O2953" s="669" t="s">
        <v>662</v>
      </c>
      <c r="P2953" s="675"/>
    </row>
    <row r="2954" spans="1:16" s="447" customFormat="1" ht="12.75" customHeight="1">
      <c r="A2954" s="3"/>
      <c r="B2954" s="518"/>
      <c r="C2954" s="518"/>
      <c r="D2954" s="518"/>
      <c r="E2954" s="754"/>
      <c r="F2954" s="519"/>
      <c r="G2954" s="518"/>
      <c r="H2954" s="518"/>
      <c r="I2954" s="71" t="s">
        <v>664</v>
      </c>
      <c r="J2954" s="729">
        <f>K2954/6</f>
        <v>3.9501000000000004</v>
      </c>
      <c r="K2954" s="111">
        <f>23.94*0.99</f>
        <v>23.7006</v>
      </c>
      <c r="L2954" s="30">
        <f>330*6</f>
        <v>1980</v>
      </c>
      <c r="M2954" s="116">
        <f t="shared" si="223"/>
        <v>11.97</v>
      </c>
      <c r="N2954" s="671"/>
      <c r="O2954" s="669" t="s">
        <v>36</v>
      </c>
      <c r="P2954" s="675"/>
    </row>
    <row r="2955" spans="1:16" ht="18">
      <c r="A2955" s="3"/>
      <c r="B2955" s="518"/>
      <c r="C2955" s="518"/>
      <c r="D2955" s="518"/>
      <c r="E2955" s="754"/>
      <c r="F2955" s="519"/>
      <c r="G2955" s="518"/>
      <c r="H2955" s="518"/>
      <c r="I2955" s="71" t="s">
        <v>664</v>
      </c>
      <c r="J2955" s="729"/>
      <c r="K2955" s="111">
        <v>3.99</v>
      </c>
      <c r="L2955" s="30">
        <v>330</v>
      </c>
      <c r="M2955" s="29">
        <f t="shared" si="223"/>
        <v>12.090909090909092</v>
      </c>
      <c r="N2955" s="671"/>
      <c r="O2955" s="669" t="s">
        <v>1038</v>
      </c>
      <c r="P2955" s="675"/>
    </row>
    <row r="2956" spans="1:16" ht="12.75">
      <c r="A2956" s="3"/>
      <c r="B2956" s="526">
        <v>20</v>
      </c>
      <c r="C2956" s="526">
        <v>16</v>
      </c>
      <c r="D2956" s="526">
        <v>52</v>
      </c>
      <c r="E2956" s="755"/>
      <c r="F2956" s="527">
        <v>2540</v>
      </c>
      <c r="G2956" s="526">
        <f aca="true" t="shared" si="224" ref="G2956:G2962">B2956/F2956*1000</f>
        <v>7.874015748031496</v>
      </c>
      <c r="H2956" s="526"/>
      <c r="I2956" s="520" t="s">
        <v>546</v>
      </c>
      <c r="J2956" s="521"/>
      <c r="K2956" s="521">
        <v>3.79</v>
      </c>
      <c r="L2956" s="522">
        <v>330</v>
      </c>
      <c r="M2956" s="523">
        <f aca="true" t="shared" si="225" ref="M2956:M2961">K2956/L2956*1000</f>
        <v>11.484848484848484</v>
      </c>
      <c r="N2956" s="524" t="s">
        <v>3107</v>
      </c>
      <c r="O2956" s="525" t="s">
        <v>943</v>
      </c>
      <c r="P2956" s="3"/>
    </row>
    <row r="2957" spans="1:16" ht="12.75">
      <c r="A2957" s="3"/>
      <c r="B2957" s="526">
        <v>20</v>
      </c>
      <c r="C2957" s="526">
        <v>16</v>
      </c>
      <c r="D2957" s="526">
        <v>52</v>
      </c>
      <c r="E2957" s="755"/>
      <c r="F2957" s="527">
        <v>2540</v>
      </c>
      <c r="G2957" s="526">
        <f t="shared" si="224"/>
        <v>7.874015748031496</v>
      </c>
      <c r="H2957" s="526"/>
      <c r="I2957" s="520" t="s">
        <v>1591</v>
      </c>
      <c r="J2957" s="521"/>
      <c r="K2957" s="521">
        <v>2.79</v>
      </c>
      <c r="L2957" s="522">
        <v>330</v>
      </c>
      <c r="M2957" s="523">
        <f t="shared" si="225"/>
        <v>8.454545454545455</v>
      </c>
      <c r="N2957" s="528" t="s">
        <v>3107</v>
      </c>
      <c r="O2957" s="529" t="s">
        <v>1244</v>
      </c>
      <c r="P2957" s="3"/>
    </row>
    <row r="2958" spans="2:15" ht="12.75">
      <c r="B2958" s="530">
        <v>20</v>
      </c>
      <c r="C2958" s="530">
        <v>16</v>
      </c>
      <c r="D2958" s="530">
        <v>52</v>
      </c>
      <c r="E2958" s="756"/>
      <c r="F2958" s="531">
        <v>2540</v>
      </c>
      <c r="G2958" s="530">
        <f t="shared" si="224"/>
        <v>7.874015748031496</v>
      </c>
      <c r="H2958" s="530"/>
      <c r="I2958" s="532" t="s">
        <v>1118</v>
      </c>
      <c r="J2958" s="533"/>
      <c r="K2958" s="533">
        <v>3.7</v>
      </c>
      <c r="L2958" s="534">
        <v>330</v>
      </c>
      <c r="M2958" s="535">
        <f t="shared" si="225"/>
        <v>11.212121212121213</v>
      </c>
      <c r="N2958" s="536"/>
      <c r="O2958" s="506" t="s">
        <v>943</v>
      </c>
    </row>
    <row r="2959" spans="1:16" ht="12.75">
      <c r="A2959" s="3"/>
      <c r="B2959" s="518">
        <v>20</v>
      </c>
      <c r="C2959" s="518">
        <v>16</v>
      </c>
      <c r="D2959" s="518">
        <v>52</v>
      </c>
      <c r="E2959" s="754"/>
      <c r="F2959" s="519">
        <v>2540</v>
      </c>
      <c r="G2959" s="518">
        <f>B2959/F2959*1000</f>
        <v>7.874015748031496</v>
      </c>
      <c r="H2959" s="518"/>
      <c r="I2959" s="537" t="s">
        <v>1273</v>
      </c>
      <c r="J2959" s="538"/>
      <c r="K2959" s="538">
        <v>3</v>
      </c>
      <c r="L2959" s="539">
        <v>330</v>
      </c>
      <c r="M2959" s="564">
        <f t="shared" si="225"/>
        <v>9.09090909090909</v>
      </c>
      <c r="N2959" s="565"/>
      <c r="O2959" s="566" t="s">
        <v>2510</v>
      </c>
      <c r="P2959" s="3"/>
    </row>
    <row r="2960" spans="1:16" ht="12.75">
      <c r="A2960" s="3"/>
      <c r="B2960" s="518">
        <v>20</v>
      </c>
      <c r="C2960" s="518">
        <v>16</v>
      </c>
      <c r="D2960" s="518">
        <v>52</v>
      </c>
      <c r="E2960" s="754"/>
      <c r="F2960" s="519">
        <v>2540</v>
      </c>
      <c r="G2960" s="518">
        <f>B2960/F2960*1000</f>
        <v>7.874015748031496</v>
      </c>
      <c r="H2960" s="518"/>
      <c r="I2960" s="453" t="s">
        <v>2180</v>
      </c>
      <c r="J2960" s="556"/>
      <c r="K2960" s="556">
        <v>4.99</v>
      </c>
      <c r="L2960" s="557">
        <v>330</v>
      </c>
      <c r="M2960" s="558">
        <f>K2960/L2960*1000</f>
        <v>15.121212121212123</v>
      </c>
      <c r="N2960" s="541"/>
      <c r="O2960" s="542" t="s">
        <v>2013</v>
      </c>
      <c r="P2960" s="3"/>
    </row>
    <row r="2961" spans="1:16" ht="12.75">
      <c r="A2961" s="3"/>
      <c r="B2961" s="518">
        <v>20</v>
      </c>
      <c r="C2961" s="518">
        <v>16</v>
      </c>
      <c r="D2961" s="518">
        <v>52</v>
      </c>
      <c r="E2961" s="754"/>
      <c r="F2961" s="519">
        <v>2540</v>
      </c>
      <c r="G2961" s="518">
        <f t="shared" si="224"/>
        <v>7.874015748031496</v>
      </c>
      <c r="H2961" s="518"/>
      <c r="I2961" s="537" t="s">
        <v>1871</v>
      </c>
      <c r="J2961" s="538"/>
      <c r="K2961" s="538">
        <v>4.19</v>
      </c>
      <c r="L2961" s="539">
        <v>330</v>
      </c>
      <c r="M2961" s="540">
        <f t="shared" si="225"/>
        <v>12.696969696969697</v>
      </c>
      <c r="N2961" s="541"/>
      <c r="O2961" s="542" t="s">
        <v>12</v>
      </c>
      <c r="P2961" s="3"/>
    </row>
    <row r="2962" spans="1:16" ht="12.75">
      <c r="A2962" s="10"/>
      <c r="B2962" s="514">
        <v>20</v>
      </c>
      <c r="C2962" s="514">
        <v>16</v>
      </c>
      <c r="D2962" s="514">
        <v>52</v>
      </c>
      <c r="E2962" s="753"/>
      <c r="F2962" s="515">
        <v>2540</v>
      </c>
      <c r="G2962" s="514">
        <f t="shared" si="224"/>
        <v>7.874015748031496</v>
      </c>
      <c r="H2962" s="514"/>
      <c r="I2962" s="455" t="s">
        <v>2229</v>
      </c>
      <c r="J2962" s="543"/>
      <c r="K2962" s="543">
        <v>3.4</v>
      </c>
      <c r="L2962" s="544">
        <v>330</v>
      </c>
      <c r="M2962" s="545">
        <f aca="true" t="shared" si="226" ref="M2962:M2973">K2962/L2962*1000</f>
        <v>10.303030303030303</v>
      </c>
      <c r="N2962" s="516"/>
      <c r="O2962" s="517" t="s">
        <v>2510</v>
      </c>
      <c r="P2962" s="10"/>
    </row>
    <row r="2963" spans="1:16" ht="12.75">
      <c r="A2963" s="3"/>
      <c r="B2963" s="518"/>
      <c r="C2963" s="518"/>
      <c r="D2963" s="518"/>
      <c r="E2963" s="754"/>
      <c r="F2963" s="519"/>
      <c r="G2963" s="518"/>
      <c r="H2963" s="518"/>
      <c r="I2963" s="728" t="s">
        <v>4</v>
      </c>
      <c r="J2963" s="666"/>
      <c r="K2963" s="666">
        <v>5.99</v>
      </c>
      <c r="L2963" s="667">
        <v>500</v>
      </c>
      <c r="M2963" s="501">
        <f t="shared" si="226"/>
        <v>11.98</v>
      </c>
      <c r="N2963" s="668"/>
      <c r="O2963" s="722" t="s">
        <v>2120</v>
      </c>
      <c r="P2963" s="3"/>
    </row>
    <row r="2964" spans="1:16" ht="12.75">
      <c r="A2964" s="3"/>
      <c r="B2964" s="518"/>
      <c r="C2964" s="518"/>
      <c r="D2964" s="518"/>
      <c r="E2964" s="754"/>
      <c r="F2964" s="519"/>
      <c r="G2964" s="518"/>
      <c r="H2964" s="518"/>
      <c r="I2964" s="665" t="s">
        <v>859</v>
      </c>
      <c r="J2964" s="666">
        <v>6.09</v>
      </c>
      <c r="K2964" s="501">
        <f>J2964*0.99</f>
        <v>6.0291</v>
      </c>
      <c r="L2964" s="667">
        <v>500</v>
      </c>
      <c r="M2964" s="501">
        <f t="shared" si="226"/>
        <v>12.0582</v>
      </c>
      <c r="N2964" s="541"/>
      <c r="O2964" s="722" t="s">
        <v>2120</v>
      </c>
      <c r="P2964" s="3"/>
    </row>
    <row r="2965" spans="1:16" ht="12.75">
      <c r="A2965" s="10"/>
      <c r="B2965" s="657"/>
      <c r="C2965" s="657"/>
      <c r="D2965" s="657"/>
      <c r="E2965" s="757"/>
      <c r="F2965" s="658"/>
      <c r="G2965" s="657"/>
      <c r="H2965" s="657"/>
      <c r="I2965" s="670" t="s">
        <v>396</v>
      </c>
      <c r="J2965" s="659"/>
      <c r="K2965" s="659">
        <v>6.49</v>
      </c>
      <c r="L2965" s="664">
        <v>500</v>
      </c>
      <c r="M2965" s="660">
        <f t="shared" si="226"/>
        <v>12.98</v>
      </c>
      <c r="N2965" s="516"/>
      <c r="O2965" s="723" t="s">
        <v>233</v>
      </c>
      <c r="P2965" s="10"/>
    </row>
    <row r="2966" spans="2:15" ht="12.75">
      <c r="B2966" s="530"/>
      <c r="C2966" s="530"/>
      <c r="D2966" s="530"/>
      <c r="E2966" s="756"/>
      <c r="F2966" s="531"/>
      <c r="G2966" s="530"/>
      <c r="H2966" s="530"/>
      <c r="I2966" s="532" t="s">
        <v>127</v>
      </c>
      <c r="J2966" s="533"/>
      <c r="K2966" s="533">
        <v>6.59</v>
      </c>
      <c r="L2966" s="661">
        <v>500</v>
      </c>
      <c r="M2966" s="535">
        <f t="shared" si="226"/>
        <v>13.18</v>
      </c>
      <c r="N2966" s="536"/>
      <c r="O2966" s="716" t="s">
        <v>2670</v>
      </c>
    </row>
    <row r="2967" spans="2:15" ht="12.75">
      <c r="B2967" s="530"/>
      <c r="C2967" s="530"/>
      <c r="D2967" s="530"/>
      <c r="E2967" s="756"/>
      <c r="F2967" s="531"/>
      <c r="G2967" s="530"/>
      <c r="H2967" s="530"/>
      <c r="I2967" s="399" t="s">
        <v>397</v>
      </c>
      <c r="J2967" s="533">
        <v>6.79</v>
      </c>
      <c r="K2967" s="5">
        <f>J2967*0.99</f>
        <v>6.7221</v>
      </c>
      <c r="L2967" s="661">
        <v>500</v>
      </c>
      <c r="M2967" s="535">
        <f>J2967/L2967*1000</f>
        <v>13.58</v>
      </c>
      <c r="N2967" s="536"/>
      <c r="O2967" s="723" t="s">
        <v>2120</v>
      </c>
    </row>
    <row r="2968" spans="1:16" ht="12.75">
      <c r="A2968" s="10"/>
      <c r="B2968" s="657"/>
      <c r="C2968" s="657"/>
      <c r="D2968" s="657"/>
      <c r="E2968" s="757"/>
      <c r="F2968" s="658"/>
      <c r="G2968" s="657"/>
      <c r="H2968" s="657"/>
      <c r="I2968" s="696" t="s">
        <v>865</v>
      </c>
      <c r="J2968" s="725">
        <v>6.49</v>
      </c>
      <c r="K2968" s="727">
        <f>J2968*0.99</f>
        <v>6.4251000000000005</v>
      </c>
      <c r="L2968" s="726">
        <v>500</v>
      </c>
      <c r="M2968" s="727">
        <f t="shared" si="226"/>
        <v>12.850200000000001</v>
      </c>
      <c r="N2968" s="516"/>
      <c r="O2968" s="723" t="s">
        <v>2120</v>
      </c>
      <c r="P2968" s="10"/>
    </row>
    <row r="2969" spans="2:15" ht="12.75">
      <c r="B2969" s="507"/>
      <c r="C2969" s="507"/>
      <c r="D2969" s="507"/>
      <c r="E2969" s="752"/>
      <c r="F2969" s="508"/>
      <c r="G2969" s="507"/>
      <c r="H2969" s="507"/>
      <c r="I2969" s="546" t="s">
        <v>1734</v>
      </c>
      <c r="J2969" s="547">
        <v>65.9</v>
      </c>
      <c r="K2969" s="547">
        <f>J2969*0.97</f>
        <v>63.923</v>
      </c>
      <c r="L2969" s="548">
        <v>9040</v>
      </c>
      <c r="M2969" s="549">
        <f t="shared" si="226"/>
        <v>7.071128318584071</v>
      </c>
      <c r="N2969" s="536" t="s">
        <v>114</v>
      </c>
      <c r="O2969" s="506" t="s">
        <v>2657</v>
      </c>
    </row>
    <row r="2970" spans="2:15" ht="12.75">
      <c r="B2970" s="507"/>
      <c r="C2970" s="507"/>
      <c r="D2970" s="507"/>
      <c r="E2970" s="752"/>
      <c r="F2970" s="508"/>
      <c r="G2970" s="507"/>
      <c r="H2970" s="507"/>
      <c r="I2970" s="313" t="s">
        <v>1719</v>
      </c>
      <c r="J2970" s="404">
        <v>69</v>
      </c>
      <c r="K2970" s="404">
        <f>J2970*0.97</f>
        <v>66.92999999999999</v>
      </c>
      <c r="L2970" s="315">
        <v>8000</v>
      </c>
      <c r="M2970" s="314">
        <f t="shared" si="226"/>
        <v>8.366249999999999</v>
      </c>
      <c r="N2970" s="505"/>
      <c r="O2970" s="506" t="s">
        <v>2750</v>
      </c>
    </row>
    <row r="2971" spans="2:15" ht="12.75">
      <c r="B2971" s="507"/>
      <c r="C2971" s="507"/>
      <c r="D2971" s="507"/>
      <c r="E2971" s="752"/>
      <c r="F2971" s="508"/>
      <c r="G2971" s="507"/>
      <c r="H2971" s="507"/>
      <c r="I2971" s="432" t="s">
        <v>1726</v>
      </c>
      <c r="J2971" s="550"/>
      <c r="K2971" s="314">
        <v>59.19</v>
      </c>
      <c r="L2971" s="315">
        <v>8000</v>
      </c>
      <c r="M2971" s="314">
        <f t="shared" si="226"/>
        <v>7.39875</v>
      </c>
      <c r="N2971" s="551"/>
      <c r="O2971" s="552" t="s">
        <v>1856</v>
      </c>
    </row>
    <row r="2972" spans="2:15" ht="12.75">
      <c r="B2972" s="553"/>
      <c r="C2972" s="553"/>
      <c r="D2972" s="553"/>
      <c r="E2972" s="758"/>
      <c r="F2972" s="554"/>
      <c r="G2972" s="553"/>
      <c r="H2972" s="553"/>
      <c r="I2972" s="432" t="s">
        <v>1726</v>
      </c>
      <c r="J2972" s="550"/>
      <c r="K2972" s="314">
        <v>59.19</v>
      </c>
      <c r="L2972" s="315">
        <v>8000</v>
      </c>
      <c r="M2972" s="314">
        <f t="shared" si="226"/>
        <v>7.39875</v>
      </c>
      <c r="N2972" s="551"/>
      <c r="O2972" s="555" t="s">
        <v>2973</v>
      </c>
    </row>
    <row r="2973" spans="1:16" ht="12.75">
      <c r="A2973" s="3"/>
      <c r="B2973" s="518"/>
      <c r="C2973" s="518"/>
      <c r="D2973" s="518"/>
      <c r="E2973" s="754"/>
      <c r="F2973" s="519"/>
      <c r="G2973" s="518"/>
      <c r="H2973" s="518"/>
      <c r="I2973" s="453" t="s">
        <v>634</v>
      </c>
      <c r="J2973" s="556"/>
      <c r="K2973" s="556">
        <v>3.99</v>
      </c>
      <c r="L2973" s="557">
        <v>250</v>
      </c>
      <c r="M2973" s="558">
        <f t="shared" si="226"/>
        <v>15.960000000000003</v>
      </c>
      <c r="N2973" s="541"/>
      <c r="O2973" s="542" t="s">
        <v>2099</v>
      </c>
      <c r="P2973" s="3"/>
    </row>
    <row r="2974" spans="1:16" s="10" customFormat="1" ht="12.75">
      <c r="A2974"/>
      <c r="B2974" s="195"/>
      <c r="C2974" s="195"/>
      <c r="D2974" s="195"/>
      <c r="E2974" s="732"/>
      <c r="F2974" s="198"/>
      <c r="G2974" s="195"/>
      <c r="H2974" s="195"/>
      <c r="I2974" s="31"/>
      <c r="J2974" s="66"/>
      <c r="K2974" s="66"/>
      <c r="L2974" s="33"/>
      <c r="M2974" s="32"/>
      <c r="N2974" s="118"/>
      <c r="O2974" s="24"/>
      <c r="P2974"/>
    </row>
    <row r="2975" spans="9:14" ht="12.75">
      <c r="I2975" s="6"/>
      <c r="J2975" s="55"/>
      <c r="K2975" s="55"/>
      <c r="L2975" s="7"/>
      <c r="M2975" s="16"/>
      <c r="N2975" s="180"/>
    </row>
    <row r="2976" spans="9:14" ht="20.25">
      <c r="I2976" s="261" t="s">
        <v>1156</v>
      </c>
      <c r="J2976" s="105"/>
      <c r="M2976" s="64"/>
      <c r="N2976" s="65"/>
    </row>
    <row r="2977" spans="2:15" ht="12.75">
      <c r="B2977" s="195">
        <v>30.2</v>
      </c>
      <c r="C2977" s="195">
        <v>9.4</v>
      </c>
      <c r="D2977" s="195">
        <v>49.4</v>
      </c>
      <c r="F2977" s="198">
        <v>2592</v>
      </c>
      <c r="G2977" s="507">
        <f>B2977/F2977*1000</f>
        <v>11.651234567901234</v>
      </c>
      <c r="H2977" s="507"/>
      <c r="I2977" s="82" t="s">
        <v>200</v>
      </c>
      <c r="J2977" s="105"/>
      <c r="K2977" s="35">
        <v>2.6</v>
      </c>
      <c r="L2977" s="36">
        <v>250</v>
      </c>
      <c r="M2977" s="674">
        <f>K2977/L2977*1000</f>
        <v>10.4</v>
      </c>
      <c r="N2977" s="36"/>
      <c r="O2977" s="125" t="s">
        <v>1792</v>
      </c>
    </row>
    <row r="2978" spans="2:15" ht="12.75">
      <c r="B2978" s="195">
        <v>30</v>
      </c>
      <c r="C2978" s="195">
        <v>9.4</v>
      </c>
      <c r="D2978" s="195">
        <v>49</v>
      </c>
      <c r="F2978" s="198">
        <v>2593</v>
      </c>
      <c r="G2978" s="507">
        <f>B2978/F2978*1000</f>
        <v>11.569610489780178</v>
      </c>
      <c r="H2978" s="507"/>
      <c r="I2978" s="40" t="s">
        <v>1873</v>
      </c>
      <c r="J2978" s="105">
        <v>5.29</v>
      </c>
      <c r="K2978" s="35">
        <f>J2978*0.97</f>
        <v>5.1312999999999995</v>
      </c>
      <c r="L2978" s="331">
        <v>500</v>
      </c>
      <c r="M2978" s="674">
        <f>K2978/L2978*1000</f>
        <v>10.262599999999999</v>
      </c>
      <c r="N2978" s="36"/>
      <c r="O2978" s="125" t="s">
        <v>2768</v>
      </c>
    </row>
    <row r="2979" spans="7:15" ht="12.75">
      <c r="G2979" s="507"/>
      <c r="H2979" s="507"/>
      <c r="I2979" s="40" t="s">
        <v>1157</v>
      </c>
      <c r="J2979" s="105"/>
      <c r="K2979" s="35">
        <v>4.99</v>
      </c>
      <c r="L2979" s="331">
        <v>500</v>
      </c>
      <c r="M2979" s="674">
        <f>K2979/L2979*1000</f>
        <v>9.98</v>
      </c>
      <c r="N2979" s="36"/>
      <c r="O2979" s="51" t="s">
        <v>1607</v>
      </c>
    </row>
    <row r="2980" spans="2:15" s="3" customFormat="1" ht="12.75">
      <c r="B2980" s="933">
        <v>28</v>
      </c>
      <c r="C2980" s="934">
        <v>13</v>
      </c>
      <c r="D2980" s="934">
        <v>51</v>
      </c>
      <c r="E2980" s="935"/>
      <c r="F2980" s="936">
        <v>2580</v>
      </c>
      <c r="G2980" s="507">
        <f aca="true" t="shared" si="227" ref="G2980:G2989">B2980/F2980*1000</f>
        <v>10.852713178294573</v>
      </c>
      <c r="H2980" s="507"/>
      <c r="I2980" s="937" t="s">
        <v>1326</v>
      </c>
      <c r="J2980" s="938"/>
      <c r="K2980" s="8">
        <v>4.39</v>
      </c>
      <c r="L2980" s="939">
        <v>330</v>
      </c>
      <c r="M2980" s="674">
        <f>K2980/L2980*1000</f>
        <v>13.303030303030303</v>
      </c>
      <c r="N2980" s="671"/>
      <c r="O2980" s="51" t="s">
        <v>1607</v>
      </c>
    </row>
    <row r="2981" spans="2:15" s="3" customFormat="1" ht="12.75">
      <c r="B2981" s="933">
        <v>28</v>
      </c>
      <c r="C2981" s="934">
        <v>13</v>
      </c>
      <c r="D2981" s="934">
        <v>51</v>
      </c>
      <c r="E2981" s="935"/>
      <c r="F2981" s="936">
        <v>2580</v>
      </c>
      <c r="G2981" s="507">
        <f t="shared" si="227"/>
        <v>10.852713178294573</v>
      </c>
      <c r="H2981" s="507"/>
      <c r="I2981" s="937" t="s">
        <v>1084</v>
      </c>
      <c r="J2981" s="938"/>
      <c r="K2981" s="8">
        <v>4.39</v>
      </c>
      <c r="L2981" s="939">
        <v>330</v>
      </c>
      <c r="M2981" s="674">
        <f>K2981/L2981*1000</f>
        <v>13.303030303030303</v>
      </c>
      <c r="N2981" s="671"/>
      <c r="O2981" s="51" t="s">
        <v>1607</v>
      </c>
    </row>
    <row r="2982" spans="2:15" s="3" customFormat="1" ht="12.75">
      <c r="B2982" s="933">
        <v>28</v>
      </c>
      <c r="C2982" s="934">
        <v>13</v>
      </c>
      <c r="D2982" s="934">
        <v>51</v>
      </c>
      <c r="E2982" s="935"/>
      <c r="F2982" s="936">
        <v>2580</v>
      </c>
      <c r="G2982" s="507">
        <f t="shared" si="227"/>
        <v>10.852713178294573</v>
      </c>
      <c r="H2982" s="507"/>
      <c r="I2982" s="520" t="s">
        <v>1297</v>
      </c>
      <c r="J2982" s="523">
        <v>3.79</v>
      </c>
      <c r="K2982" s="523">
        <f>J2982*0.99</f>
        <v>3.7521</v>
      </c>
      <c r="L2982" s="522">
        <v>330</v>
      </c>
      <c r="M2982" s="994">
        <f>J2982/L2982*1000</f>
        <v>11.484848484848484</v>
      </c>
      <c r="N2982" s="671"/>
      <c r="O2982" s="81" t="s">
        <v>1431</v>
      </c>
    </row>
    <row r="2983" spans="2:15" ht="12.75">
      <c r="B2983" s="933">
        <v>28</v>
      </c>
      <c r="C2983" s="934">
        <v>13</v>
      </c>
      <c r="D2983" s="934">
        <v>51</v>
      </c>
      <c r="E2983" s="935"/>
      <c r="F2983" s="936">
        <v>2580</v>
      </c>
      <c r="G2983" s="507">
        <f t="shared" si="227"/>
        <v>10.852713178294573</v>
      </c>
      <c r="H2983" s="507"/>
      <c r="I2983" s="940" t="s">
        <v>2182</v>
      </c>
      <c r="J2983" s="521"/>
      <c r="K2983" s="523">
        <v>3.19</v>
      </c>
      <c r="L2983" s="522">
        <v>330</v>
      </c>
      <c r="M2983" s="523">
        <f>K2983/L2983*1000</f>
        <v>9.666666666666668</v>
      </c>
      <c r="N2983" s="671"/>
      <c r="O2983" s="722" t="s">
        <v>337</v>
      </c>
    </row>
    <row r="2984" spans="2:15" ht="12.75">
      <c r="B2984" s="195">
        <v>30</v>
      </c>
      <c r="C2984" s="195">
        <v>9.3</v>
      </c>
      <c r="D2984" s="195">
        <v>49</v>
      </c>
      <c r="F2984" s="198">
        <v>2572</v>
      </c>
      <c r="G2984" s="507">
        <f t="shared" si="227"/>
        <v>11.66407465007776</v>
      </c>
      <c r="H2984" s="507"/>
      <c r="I2984" s="40" t="s">
        <v>963</v>
      </c>
      <c r="J2984" s="105"/>
      <c r="K2984" s="35">
        <v>5.29</v>
      </c>
      <c r="L2984" s="331">
        <v>500</v>
      </c>
      <c r="M2984" s="674">
        <f>K2984/L2984*1000</f>
        <v>10.58</v>
      </c>
      <c r="N2984" s="36"/>
      <c r="O2984" s="81" t="s">
        <v>1094</v>
      </c>
    </row>
    <row r="2985" spans="2:15" ht="12.75">
      <c r="B2985" s="195">
        <v>30</v>
      </c>
      <c r="C2985" s="195">
        <v>9.3</v>
      </c>
      <c r="D2985" s="195">
        <v>49</v>
      </c>
      <c r="F2985" s="198">
        <v>2572</v>
      </c>
      <c r="G2985" s="507">
        <f t="shared" si="227"/>
        <v>11.66407465007776</v>
      </c>
      <c r="H2985" s="507"/>
      <c r="I2985" s="696" t="s">
        <v>938</v>
      </c>
      <c r="J2985" s="963"/>
      <c r="K2985" s="964"/>
      <c r="L2985" s="965"/>
      <c r="M2985" s="966"/>
      <c r="N2985" s="965"/>
      <c r="O2985" s="967" t="s">
        <v>1521</v>
      </c>
    </row>
    <row r="2986" spans="2:15" ht="12.75">
      <c r="B2986" s="507">
        <v>20</v>
      </c>
      <c r="C2986" s="507">
        <v>16</v>
      </c>
      <c r="D2986" s="507">
        <v>52</v>
      </c>
      <c r="E2986" s="752"/>
      <c r="F2986" s="508">
        <v>2540</v>
      </c>
      <c r="G2986" s="507">
        <f t="shared" si="227"/>
        <v>7.874015748031496</v>
      </c>
      <c r="H2986" s="507"/>
      <c r="I2986" s="546" t="s">
        <v>1522</v>
      </c>
      <c r="J2986" s="547"/>
      <c r="K2986" s="547">
        <v>7.99</v>
      </c>
      <c r="L2986" s="548">
        <v>330</v>
      </c>
      <c r="M2986" s="549">
        <f aca="true" t="shared" si="228" ref="M2986:M2991">K2986/L2986*1000</f>
        <v>24.21212121212121</v>
      </c>
      <c r="N2986" s="536"/>
      <c r="O2986" s="506" t="s">
        <v>943</v>
      </c>
    </row>
    <row r="2987" spans="2:15" ht="12.75">
      <c r="B2987" s="507">
        <v>37.5</v>
      </c>
      <c r="C2987" s="507">
        <v>4.4</v>
      </c>
      <c r="D2987" s="507">
        <v>45</v>
      </c>
      <c r="E2987" s="752"/>
      <c r="F2987" s="508">
        <v>2463</v>
      </c>
      <c r="G2987" s="507">
        <f t="shared" si="227"/>
        <v>15.225334957369062</v>
      </c>
      <c r="H2987" s="507"/>
      <c r="I2987" s="546" t="s">
        <v>1578</v>
      </c>
      <c r="J2987" s="547"/>
      <c r="K2987" s="547">
        <v>4.59</v>
      </c>
      <c r="L2987" s="548">
        <v>250</v>
      </c>
      <c r="M2987" s="549">
        <f t="shared" si="228"/>
        <v>18.36</v>
      </c>
      <c r="N2987" s="536"/>
      <c r="O2987" s="506" t="s">
        <v>2099</v>
      </c>
    </row>
    <row r="2988" spans="2:15" ht="12.75">
      <c r="B2988" s="507">
        <v>29</v>
      </c>
      <c r="C2988" s="507">
        <v>25</v>
      </c>
      <c r="D2988" s="507">
        <v>41</v>
      </c>
      <c r="E2988" s="752"/>
      <c r="F2988" s="508">
        <v>2440</v>
      </c>
      <c r="G2988" s="507">
        <f t="shared" si="227"/>
        <v>11.885245901639344</v>
      </c>
      <c r="H2988" s="507"/>
      <c r="I2988" s="546" t="s">
        <v>2130</v>
      </c>
      <c r="J2988" s="938">
        <v>4.89</v>
      </c>
      <c r="K2988" s="8">
        <f>J2988*0.99</f>
        <v>4.8411</v>
      </c>
      <c r="L2988" s="548">
        <v>330</v>
      </c>
      <c r="M2988" s="58">
        <f t="shared" si="228"/>
        <v>14.669999999999998</v>
      </c>
      <c r="N2988" s="536"/>
      <c r="O2988" s="506" t="s">
        <v>1738</v>
      </c>
    </row>
    <row r="2989" spans="2:15" ht="12.75">
      <c r="B2989" s="507">
        <v>29</v>
      </c>
      <c r="C2989" s="507">
        <v>25</v>
      </c>
      <c r="D2989" s="507">
        <v>41</v>
      </c>
      <c r="E2989" s="752"/>
      <c r="F2989" s="508">
        <v>2440</v>
      </c>
      <c r="G2989" s="507">
        <f t="shared" si="227"/>
        <v>11.885245901639344</v>
      </c>
      <c r="H2989" s="507"/>
      <c r="I2989" s="849" t="s">
        <v>1163</v>
      </c>
      <c r="J2989" s="523">
        <v>4.49</v>
      </c>
      <c r="K2989" s="523">
        <f>J2989*0.99</f>
        <v>4.4451</v>
      </c>
      <c r="L2989" s="851">
        <v>330</v>
      </c>
      <c r="M2989" s="1012">
        <f t="shared" si="228"/>
        <v>13.469999999999999</v>
      </c>
      <c r="N2989" s="536"/>
      <c r="O2989" s="506" t="s">
        <v>2347</v>
      </c>
    </row>
    <row r="2990" spans="2:15" ht="12.75">
      <c r="B2990" s="507"/>
      <c r="C2990" s="507"/>
      <c r="D2990" s="507"/>
      <c r="E2990" s="752"/>
      <c r="F2990" s="508"/>
      <c r="G2990" s="507"/>
      <c r="H2990" s="507"/>
      <c r="I2990" s="546" t="s">
        <v>2360</v>
      </c>
      <c r="J2990" s="547"/>
      <c r="K2990" s="547">
        <v>2.79</v>
      </c>
      <c r="L2990" s="548">
        <v>250</v>
      </c>
      <c r="M2990" s="549">
        <f t="shared" si="228"/>
        <v>11.16</v>
      </c>
      <c r="N2990" s="536"/>
      <c r="O2990" s="506" t="s">
        <v>1244</v>
      </c>
    </row>
    <row r="2991" spans="2:15" ht="12.75">
      <c r="B2991" s="507"/>
      <c r="C2991" s="507"/>
      <c r="D2991" s="507"/>
      <c r="E2991" s="752"/>
      <c r="F2991" s="508"/>
      <c r="G2991" s="507"/>
      <c r="H2991" s="507"/>
      <c r="I2991" s="313" t="s">
        <v>2361</v>
      </c>
      <c r="J2991" s="404"/>
      <c r="K2991" s="404">
        <v>2.38</v>
      </c>
      <c r="L2991" s="315">
        <v>250</v>
      </c>
      <c r="M2991" s="314">
        <f t="shared" si="228"/>
        <v>9.52</v>
      </c>
      <c r="N2991" s="536"/>
      <c r="O2991" s="506" t="s">
        <v>2099</v>
      </c>
    </row>
    <row r="2992" spans="9:14" ht="12.75">
      <c r="I2992" s="31"/>
      <c r="J2992" s="66"/>
      <c r="K2992" s="66"/>
      <c r="L2992" s="33"/>
      <c r="M2992" s="32"/>
      <c r="N2992" s="118"/>
    </row>
    <row r="2993" ht="15.75">
      <c r="I2993" s="52" t="s">
        <v>2473</v>
      </c>
    </row>
    <row r="2994" spans="9:14" ht="12.75">
      <c r="I2994" s="2" t="s">
        <v>49</v>
      </c>
      <c r="J2994" s="154"/>
      <c r="K2994" s="62">
        <v>2.35</v>
      </c>
      <c r="L2994" s="63">
        <v>250</v>
      </c>
      <c r="M2994" s="62">
        <f>K2994/L2994*1000</f>
        <v>9.4</v>
      </c>
      <c r="N2994" s="63" t="s">
        <v>2433</v>
      </c>
    </row>
    <row r="2995" spans="9:14" ht="12.75">
      <c r="I2995" s="60" t="s">
        <v>2432</v>
      </c>
      <c r="J2995" s="154"/>
      <c r="K2995" s="62">
        <v>3.15</v>
      </c>
      <c r="L2995" s="63">
        <v>200</v>
      </c>
      <c r="M2995" s="62">
        <f>K2995/L2995*1000</f>
        <v>15.75</v>
      </c>
      <c r="N2995" s="63" t="s">
        <v>2433</v>
      </c>
    </row>
    <row r="2996" spans="9:13" ht="12.75">
      <c r="I2996" s="2" t="s">
        <v>3029</v>
      </c>
      <c r="J2996" s="151"/>
      <c r="K2996" s="58">
        <v>59.19</v>
      </c>
      <c r="L2996" s="39">
        <v>8000</v>
      </c>
      <c r="M2996" s="58">
        <f>K2996/L2996*1000</f>
        <v>7.39875</v>
      </c>
    </row>
    <row r="2997" spans="9:13" ht="12.75">
      <c r="I2997" s="2" t="s">
        <v>1627</v>
      </c>
      <c r="J2997" s="151"/>
      <c r="K2997" s="58">
        <v>37.53</v>
      </c>
      <c r="L2997" s="39">
        <v>7000</v>
      </c>
      <c r="M2997" s="58">
        <f>K2997/L2997*1000</f>
        <v>5.361428571428572</v>
      </c>
    </row>
    <row r="2998" spans="9:13" ht="12.75">
      <c r="I2998" s="2" t="s">
        <v>45</v>
      </c>
      <c r="J2998" s="151"/>
      <c r="K2998" s="58">
        <v>48.25</v>
      </c>
      <c r="L2998" s="39">
        <v>7000</v>
      </c>
      <c r="M2998" s="58">
        <f>K2998/L2998*1000</f>
        <v>6.892857142857143</v>
      </c>
    </row>
    <row r="2999" ht="12.75"/>
    <row r="3000" spans="9:14" ht="15.75">
      <c r="I3000" s="52" t="s">
        <v>1963</v>
      </c>
      <c r="N3000" t="s">
        <v>1468</v>
      </c>
    </row>
    <row r="3001" spans="9:16" ht="12.75">
      <c r="I3001" s="43" t="s">
        <v>1964</v>
      </c>
      <c r="J3001" s="46">
        <v>2.95</v>
      </c>
      <c r="K3001" s="44">
        <f>J3001*0.97</f>
        <v>2.8615</v>
      </c>
      <c r="L3001" s="45">
        <v>30</v>
      </c>
      <c r="M3001" s="44">
        <f>K3001/L3001*1000</f>
        <v>95.38333333333334</v>
      </c>
      <c r="N3001" s="102">
        <f>M3001/100</f>
        <v>0.9538333333333334</v>
      </c>
      <c r="O3001" s="24" t="s">
        <v>1035</v>
      </c>
      <c r="P3001" t="s">
        <v>1389</v>
      </c>
    </row>
    <row r="3002" spans="9:16" ht="12.75">
      <c r="I3002" s="1" t="s">
        <v>1964</v>
      </c>
      <c r="J3002" s="4">
        <v>4.45</v>
      </c>
      <c r="K3002" s="32">
        <f>J3002*0.97</f>
        <v>4.3165000000000004</v>
      </c>
      <c r="L3002">
        <v>50</v>
      </c>
      <c r="M3002" s="5">
        <f>K3002/L3002*1000</f>
        <v>86.33</v>
      </c>
      <c r="N3002" s="102">
        <f>M3002/100</f>
        <v>0.8633</v>
      </c>
      <c r="O3002" s="24" t="s">
        <v>1035</v>
      </c>
      <c r="P3002" t="s">
        <v>1389</v>
      </c>
    </row>
    <row r="3003" spans="9:16" ht="12.75">
      <c r="I3003" s="1" t="s">
        <v>398</v>
      </c>
      <c r="N3003" s="102">
        <v>1.19</v>
      </c>
      <c r="O3003" s="24" t="s">
        <v>2208</v>
      </c>
      <c r="P3003" t="s">
        <v>83</v>
      </c>
    </row>
    <row r="3004" spans="9:16" ht="12.75">
      <c r="I3004" s="1" t="s">
        <v>399</v>
      </c>
      <c r="J3004" s="4">
        <v>5.67</v>
      </c>
      <c r="K3004" s="32">
        <f>J3004*0.97</f>
        <v>5.499899999999999</v>
      </c>
      <c r="L3004">
        <v>80</v>
      </c>
      <c r="M3004" s="5">
        <f>K3004/L3004*1000</f>
        <v>68.74875</v>
      </c>
      <c r="N3004" s="102">
        <f>M3004/100</f>
        <v>0.6874875</v>
      </c>
      <c r="P3004" t="s">
        <v>1389</v>
      </c>
    </row>
    <row r="3005" spans="9:16" ht="12.75">
      <c r="I3005" s="1" t="s">
        <v>406</v>
      </c>
      <c r="J3005" s="4">
        <v>2.49</v>
      </c>
      <c r="K3005" s="32">
        <f>J3005*0.97</f>
        <v>2.4153000000000002</v>
      </c>
      <c r="L3005">
        <v>30</v>
      </c>
      <c r="M3005" s="5">
        <f>K3005/L3005*1000</f>
        <v>80.51</v>
      </c>
      <c r="N3005" s="102">
        <f>M3005/100</f>
        <v>0.8051</v>
      </c>
      <c r="P3005" t="s">
        <v>1389</v>
      </c>
    </row>
    <row r="3006" ht="12.75"/>
    <row r="3007" ht="12.75"/>
    <row r="3008" spans="9:15" ht="12.75">
      <c r="I3008" s="6" t="s">
        <v>1493</v>
      </c>
      <c r="J3008" s="55"/>
      <c r="K3008" s="16">
        <v>1.95</v>
      </c>
      <c r="L3008" s="7">
        <v>100</v>
      </c>
      <c r="M3008" s="16">
        <f>K3008/L3008*1000</f>
        <v>19.5</v>
      </c>
      <c r="O3008" s="24" t="s">
        <v>1281</v>
      </c>
    </row>
    <row r="3009" spans="9:15" ht="12.75">
      <c r="I3009" s="123" t="s">
        <v>1493</v>
      </c>
      <c r="J3009" s="162"/>
      <c r="K3009" s="148">
        <v>7.95</v>
      </c>
      <c r="L3009" s="149">
        <v>500</v>
      </c>
      <c r="M3009" s="148">
        <f>K3009/L3009*1000</f>
        <v>15.9</v>
      </c>
      <c r="O3009" s="24" t="s">
        <v>3100</v>
      </c>
    </row>
    <row r="3010" ht="12.75"/>
    <row r="3011" spans="9:13" ht="15.75">
      <c r="I3011" s="337" t="s">
        <v>2719</v>
      </c>
      <c r="L3011" s="24" t="s">
        <v>2036</v>
      </c>
      <c r="M3011" s="24" t="s">
        <v>2029</v>
      </c>
    </row>
    <row r="3012" spans="9:15" ht="12.75">
      <c r="I3012" s="97" t="s">
        <v>892</v>
      </c>
      <c r="J3012" s="96"/>
      <c r="K3012" s="41">
        <v>0.99</v>
      </c>
      <c r="L3012" s="125">
        <v>60</v>
      </c>
      <c r="M3012" s="41">
        <f aca="true" t="shared" si="229" ref="M3012:M3017">K3012/L3012*100</f>
        <v>1.6500000000000001</v>
      </c>
      <c r="N3012" s="327"/>
      <c r="O3012" s="24" t="s">
        <v>1382</v>
      </c>
    </row>
    <row r="3013" spans="9:15" ht="12.75">
      <c r="I3013" s="97" t="s">
        <v>2154</v>
      </c>
      <c r="J3013" s="96"/>
      <c r="K3013" s="41">
        <v>1</v>
      </c>
      <c r="L3013" s="125">
        <v>60</v>
      </c>
      <c r="M3013" s="41">
        <f t="shared" si="229"/>
        <v>1.6666666666666667</v>
      </c>
      <c r="N3013" s="327"/>
      <c r="O3013" s="24" t="s">
        <v>2066</v>
      </c>
    </row>
    <row r="3014" spans="9:15" ht="12.75">
      <c r="I3014" s="97" t="s">
        <v>2963</v>
      </c>
      <c r="J3014" s="96"/>
      <c r="K3014" s="41">
        <v>0.99</v>
      </c>
      <c r="L3014" s="125">
        <v>100</v>
      </c>
      <c r="M3014" s="41">
        <f t="shared" si="229"/>
        <v>0.9899999999999999</v>
      </c>
      <c r="N3014" s="327"/>
      <c r="O3014" s="24" t="s">
        <v>161</v>
      </c>
    </row>
    <row r="3015" spans="9:15" ht="12.75">
      <c r="I3015" s="97" t="s">
        <v>2964</v>
      </c>
      <c r="J3015" s="96"/>
      <c r="K3015" s="41">
        <v>1.29</v>
      </c>
      <c r="L3015" s="125">
        <v>60</v>
      </c>
      <c r="M3015" s="41">
        <f t="shared" si="229"/>
        <v>2.1500000000000004</v>
      </c>
      <c r="N3015" s="327"/>
      <c r="O3015" s="24" t="s">
        <v>2584</v>
      </c>
    </row>
    <row r="3016" spans="9:15" ht="12.75">
      <c r="I3016" s="109" t="s">
        <v>2713</v>
      </c>
      <c r="J3016" s="120"/>
      <c r="K3016" s="22">
        <v>0.99</v>
      </c>
      <c r="L3016" s="101">
        <v>60</v>
      </c>
      <c r="M3016" s="22">
        <f t="shared" si="229"/>
        <v>1.6500000000000001</v>
      </c>
      <c r="N3016" s="327"/>
      <c r="O3016" s="24" t="s">
        <v>939</v>
      </c>
    </row>
    <row r="3017" spans="9:15" ht="12.75">
      <c r="I3017" s="31" t="s">
        <v>1496</v>
      </c>
      <c r="K3017" s="5">
        <v>1.29</v>
      </c>
      <c r="L3017" s="24">
        <f>6*33</f>
        <v>198</v>
      </c>
      <c r="M3017" s="5">
        <f t="shared" si="229"/>
        <v>0.6515151515151516</v>
      </c>
      <c r="N3017" s="108"/>
      <c r="O3017" s="24" t="s">
        <v>2584</v>
      </c>
    </row>
    <row r="3018" spans="9:13" ht="12.75">
      <c r="I3018" s="399"/>
      <c r="L3018" s="24"/>
      <c r="M3018" s="5"/>
    </row>
    <row r="3019" ht="15.75">
      <c r="I3019" s="52" t="s">
        <v>1119</v>
      </c>
    </row>
    <row r="3020" spans="9:15" ht="12.75">
      <c r="I3020" s="2" t="s">
        <v>2862</v>
      </c>
      <c r="L3020" s="24"/>
      <c r="M3020" s="39">
        <v>2.69</v>
      </c>
      <c r="O3020" s="448" t="s">
        <v>1145</v>
      </c>
    </row>
    <row r="3021" spans="9:15" ht="12.75">
      <c r="I3021" s="37" t="s">
        <v>1785</v>
      </c>
      <c r="J3021" s="38"/>
      <c r="K3021" s="25"/>
      <c r="L3021" s="90"/>
      <c r="M3021" s="25">
        <v>4.6</v>
      </c>
      <c r="O3021" s="716" t="s">
        <v>1910</v>
      </c>
    </row>
    <row r="3022" spans="9:15" ht="12.75">
      <c r="I3022" s="37" t="s">
        <v>2340</v>
      </c>
      <c r="J3022" s="38"/>
      <c r="K3022" s="25"/>
      <c r="L3022" s="90"/>
      <c r="M3022" s="25">
        <v>5</v>
      </c>
      <c r="O3022" s="716" t="s">
        <v>1458</v>
      </c>
    </row>
    <row r="3023" spans="9:15" ht="12.75">
      <c r="I3023" s="894" t="s">
        <v>2503</v>
      </c>
      <c r="L3023" s="24"/>
      <c r="M3023" s="5">
        <v>1.2</v>
      </c>
      <c r="O3023" s="818" t="s">
        <v>1458</v>
      </c>
    </row>
    <row r="3024" ht="12.75"/>
    <row r="3025" ht="12.75"/>
    <row r="3026" spans="9:13" ht="15.75">
      <c r="I3026" s="52" t="s">
        <v>2898</v>
      </c>
      <c r="L3026" t="s">
        <v>645</v>
      </c>
      <c r="M3026" s="108" t="s">
        <v>2630</v>
      </c>
    </row>
    <row r="3027" spans="9:15" ht="15">
      <c r="I3027" s="269" t="s">
        <v>2716</v>
      </c>
      <c r="J3027" s="157"/>
      <c r="K3027" s="103">
        <v>1.5</v>
      </c>
      <c r="L3027" s="267">
        <v>72</v>
      </c>
      <c r="M3027" s="103">
        <f>K3027/L3027*100</f>
        <v>2.083333333333333</v>
      </c>
      <c r="N3027" s="267"/>
      <c r="O3027" s="448" t="s">
        <v>2935</v>
      </c>
    </row>
    <row r="3028" spans="9:16" ht="15">
      <c r="I3028" s="1328" t="s">
        <v>1472</v>
      </c>
      <c r="J3028" s="1009"/>
      <c r="K3028" s="852">
        <v>1.78</v>
      </c>
      <c r="L3028" s="575">
        <v>60</v>
      </c>
      <c r="M3028" s="852">
        <f>K3028/L3028*100</f>
        <v>2.966666666666667</v>
      </c>
      <c r="N3028" s="104" t="s">
        <v>1471</v>
      </c>
      <c r="O3028" s="448" t="s">
        <v>2070</v>
      </c>
      <c r="P3028" t="s">
        <v>2189</v>
      </c>
    </row>
    <row r="3029" spans="9:15" ht="14.25">
      <c r="I3029" s="425" t="s">
        <v>2998</v>
      </c>
      <c r="J3029" s="61"/>
      <c r="K3029" s="41">
        <v>4.13</v>
      </c>
      <c r="L3029" s="443">
        <f>5*43</f>
        <v>215</v>
      </c>
      <c r="M3029" s="41">
        <f>K3029/L3029*100</f>
        <v>1.9209302325581397</v>
      </c>
      <c r="N3029" s="267"/>
      <c r="O3029" s="716" t="s">
        <v>3121</v>
      </c>
    </row>
    <row r="3030" spans="9:15" ht="15">
      <c r="I3030" s="424" t="s">
        <v>2999</v>
      </c>
      <c r="J3030" s="163"/>
      <c r="K3030" s="276">
        <v>8.92</v>
      </c>
      <c r="L3030" s="763">
        <f>12*40</f>
        <v>480</v>
      </c>
      <c r="M3030" s="41">
        <f aca="true" t="shared" si="230" ref="M3030:M3036">K3030/L3030*100</f>
        <v>1.8583333333333334</v>
      </c>
      <c r="N3030" s="267"/>
      <c r="O3030" s="448" t="s">
        <v>3121</v>
      </c>
    </row>
    <row r="3031" spans="9:15" ht="14.25">
      <c r="I3031" s="425" t="s">
        <v>216</v>
      </c>
      <c r="J3031" s="61"/>
      <c r="K3031" s="41">
        <v>1.25</v>
      </c>
      <c r="L3031" s="443">
        <v>30</v>
      </c>
      <c r="M3031" s="41">
        <f t="shared" si="230"/>
        <v>4.166666666666666</v>
      </c>
      <c r="N3031" s="267"/>
      <c r="O3031" s="716" t="s">
        <v>2877</v>
      </c>
    </row>
    <row r="3032" spans="9:15" ht="14.25">
      <c r="I3032" s="425" t="s">
        <v>771</v>
      </c>
      <c r="J3032" s="61"/>
      <c r="K3032" s="41">
        <v>2.99</v>
      </c>
      <c r="L3032" s="443">
        <v>88</v>
      </c>
      <c r="M3032" s="41">
        <f t="shared" si="230"/>
        <v>3.397727272727273</v>
      </c>
      <c r="N3032" s="267"/>
      <c r="O3032" s="716" t="s">
        <v>2877</v>
      </c>
    </row>
    <row r="3033" spans="9:15" ht="14.25">
      <c r="I3033" s="425" t="s">
        <v>1816</v>
      </c>
      <c r="J3033" s="61"/>
      <c r="K3033" s="41">
        <v>1.5</v>
      </c>
      <c r="L3033" s="443">
        <v>36</v>
      </c>
      <c r="M3033" s="41">
        <f t="shared" si="230"/>
        <v>4.166666666666666</v>
      </c>
      <c r="N3033" s="267"/>
      <c r="O3033" s="716" t="s">
        <v>2877</v>
      </c>
    </row>
    <row r="3034" spans="9:15" ht="14.25">
      <c r="I3034" s="425" t="s">
        <v>545</v>
      </c>
      <c r="J3034" s="61"/>
      <c r="K3034" s="41">
        <v>1.5</v>
      </c>
      <c r="L3034" s="443">
        <v>36</v>
      </c>
      <c r="M3034" s="41">
        <f t="shared" si="230"/>
        <v>4.166666666666666</v>
      </c>
      <c r="N3034" s="267"/>
      <c r="O3034" s="716" t="s">
        <v>637</v>
      </c>
    </row>
    <row r="3035" spans="9:15" ht="14.25">
      <c r="I3035" s="425" t="s">
        <v>387</v>
      </c>
      <c r="J3035" s="61"/>
      <c r="K3035" s="41">
        <v>1</v>
      </c>
      <c r="L3035" s="443">
        <v>24</v>
      </c>
      <c r="M3035" s="41">
        <f t="shared" si="230"/>
        <v>4.166666666666666</v>
      </c>
      <c r="N3035" s="267"/>
      <c r="O3035" s="716" t="s">
        <v>269</v>
      </c>
    </row>
    <row r="3036" spans="9:16" ht="15">
      <c r="I3036" s="424" t="s">
        <v>598</v>
      </c>
      <c r="J3036" s="61"/>
      <c r="K3036" s="41">
        <v>1</v>
      </c>
      <c r="L3036" s="443">
        <v>36</v>
      </c>
      <c r="M3036" s="41">
        <f t="shared" si="230"/>
        <v>2.7777777777777777</v>
      </c>
      <c r="N3036" s="267"/>
      <c r="O3036" s="448" t="s">
        <v>1199</v>
      </c>
      <c r="P3036" t="s">
        <v>1263</v>
      </c>
    </row>
    <row r="3037" spans="9:16" ht="14.25">
      <c r="I3037" s="1135" t="s">
        <v>1543</v>
      </c>
      <c r="J3037" s="46"/>
      <c r="K3037" s="44">
        <v>0.99</v>
      </c>
      <c r="L3037" s="310">
        <v>20</v>
      </c>
      <c r="M3037" s="44">
        <f aca="true" t="shared" si="231" ref="M3037:M3043">K3037/L3037*100</f>
        <v>4.95</v>
      </c>
      <c r="N3037" s="267"/>
      <c r="O3037" s="448" t="s">
        <v>2066</v>
      </c>
      <c r="P3037" t="s">
        <v>506</v>
      </c>
    </row>
    <row r="3038" spans="9:16" ht="15">
      <c r="I3038" s="424" t="s">
        <v>1817</v>
      </c>
      <c r="J3038" s="163"/>
      <c r="K3038" s="276">
        <v>1.78</v>
      </c>
      <c r="L3038" s="763">
        <v>60</v>
      </c>
      <c r="M3038" s="276">
        <f>K3038/L3038*100</f>
        <v>2.966666666666667</v>
      </c>
      <c r="N3038" s="267"/>
      <c r="O3038" s="448" t="s">
        <v>269</v>
      </c>
      <c r="P3038" t="s">
        <v>2189</v>
      </c>
    </row>
    <row r="3039" spans="9:16" ht="14.25">
      <c r="I3039" s="827" t="s">
        <v>2067</v>
      </c>
      <c r="J3039" s="46"/>
      <c r="K3039" s="44">
        <v>0.89</v>
      </c>
      <c r="L3039" s="310">
        <v>20</v>
      </c>
      <c r="M3039" s="44">
        <f t="shared" si="231"/>
        <v>4.45</v>
      </c>
      <c r="N3039" s="267"/>
      <c r="O3039" s="448" t="s">
        <v>2066</v>
      </c>
      <c r="P3039" t="s">
        <v>1296</v>
      </c>
    </row>
    <row r="3040" spans="9:15" ht="15">
      <c r="I3040" s="1144" t="s">
        <v>1353</v>
      </c>
      <c r="J3040" s="38"/>
      <c r="K3040" s="25">
        <v>1</v>
      </c>
      <c r="L3040" s="131">
        <v>16</v>
      </c>
      <c r="M3040" s="25">
        <f t="shared" si="231"/>
        <v>6.25</v>
      </c>
      <c r="N3040" s="267"/>
      <c r="O3040" s="716" t="s">
        <v>2468</v>
      </c>
    </row>
    <row r="3041" spans="9:15" ht="14.25">
      <c r="I3041" s="1137" t="s">
        <v>887</v>
      </c>
      <c r="J3041" s="826"/>
      <c r="K3041" s="833">
        <v>1</v>
      </c>
      <c r="L3041" s="1138">
        <v>45</v>
      </c>
      <c r="M3041" s="833">
        <f t="shared" si="231"/>
        <v>2.2222222222222223</v>
      </c>
      <c r="N3041" s="267"/>
      <c r="O3041" s="448" t="s">
        <v>2337</v>
      </c>
    </row>
    <row r="3042" spans="9:15" ht="14.25">
      <c r="I3042" s="588" t="s">
        <v>485</v>
      </c>
      <c r="J3042" s="96"/>
      <c r="K3042" s="29">
        <v>1</v>
      </c>
      <c r="L3042" s="132">
        <v>48</v>
      </c>
      <c r="M3042" s="29">
        <f t="shared" si="231"/>
        <v>2.083333333333333</v>
      </c>
      <c r="N3042" s="267"/>
      <c r="O3042" s="448" t="s">
        <v>2256</v>
      </c>
    </row>
    <row r="3043" spans="9:15" ht="14.25">
      <c r="I3043" s="588" t="s">
        <v>1247</v>
      </c>
      <c r="J3043" s="96"/>
      <c r="K3043" s="29">
        <v>1</v>
      </c>
      <c r="L3043" s="132">
        <v>30</v>
      </c>
      <c r="M3043" s="29">
        <f t="shared" si="231"/>
        <v>3.3333333333333335</v>
      </c>
      <c r="N3043" s="267"/>
      <c r="O3043" s="716" t="s">
        <v>2337</v>
      </c>
    </row>
    <row r="3044" spans="9:15" ht="14.25">
      <c r="I3044" s="588" t="s">
        <v>2226</v>
      </c>
      <c r="J3044" s="96"/>
      <c r="K3044" s="29">
        <v>1</v>
      </c>
      <c r="L3044" s="132">
        <v>30</v>
      </c>
      <c r="M3044" s="29">
        <f aca="true" t="shared" si="232" ref="M3044:M3049">K3044/L3044*100</f>
        <v>3.3333333333333335</v>
      </c>
      <c r="N3044" s="267"/>
      <c r="O3044" s="448" t="s">
        <v>1094</v>
      </c>
    </row>
    <row r="3045" spans="9:15" ht="14.25">
      <c r="I3045" s="588" t="s">
        <v>779</v>
      </c>
      <c r="J3045" s="96"/>
      <c r="K3045" s="29">
        <v>1</v>
      </c>
      <c r="L3045" s="132">
        <v>42</v>
      </c>
      <c r="M3045" s="29">
        <f t="shared" si="232"/>
        <v>2.380952380952381</v>
      </c>
      <c r="N3045" s="763"/>
      <c r="O3045" s="125" t="s">
        <v>161</v>
      </c>
    </row>
    <row r="3046" spans="9:15" ht="15">
      <c r="I3046" s="1021" t="s">
        <v>1284</v>
      </c>
      <c r="J3046" s="96"/>
      <c r="K3046" s="29">
        <v>1</v>
      </c>
      <c r="L3046" s="30">
        <v>48</v>
      </c>
      <c r="M3046" s="29">
        <f t="shared" si="232"/>
        <v>2.083333333333333</v>
      </c>
      <c r="N3046" s="267"/>
      <c r="O3046" s="24" t="s">
        <v>2054</v>
      </c>
    </row>
    <row r="3047" spans="9:15" ht="14.25">
      <c r="I3047" s="588" t="s">
        <v>1285</v>
      </c>
      <c r="J3047" s="96"/>
      <c r="K3047" s="29">
        <v>1</v>
      </c>
      <c r="L3047" s="30">
        <v>40</v>
      </c>
      <c r="M3047" s="29">
        <f t="shared" si="232"/>
        <v>2.5</v>
      </c>
      <c r="N3047" s="267"/>
      <c r="O3047" s="24" t="s">
        <v>289</v>
      </c>
    </row>
    <row r="3048" spans="9:15" ht="14.25">
      <c r="I3048" s="338" t="s">
        <v>2297</v>
      </c>
      <c r="K3048" s="5">
        <v>2.4</v>
      </c>
      <c r="L3048">
        <v>30</v>
      </c>
      <c r="M3048" s="5">
        <f t="shared" si="232"/>
        <v>8</v>
      </c>
      <c r="N3048" s="350"/>
      <c r="O3048" s="716" t="s">
        <v>3106</v>
      </c>
    </row>
    <row r="3049" spans="9:15" ht="14.25">
      <c r="I3049" s="338" t="s">
        <v>2284</v>
      </c>
      <c r="K3049" s="5">
        <v>2.55</v>
      </c>
      <c r="L3049">
        <v>42</v>
      </c>
      <c r="M3049" s="5">
        <f t="shared" si="232"/>
        <v>6.07142857142857</v>
      </c>
      <c r="O3049" s="716" t="s">
        <v>12</v>
      </c>
    </row>
    <row r="3050" spans="9:14" ht="15">
      <c r="I3050" s="269"/>
      <c r="M3050" s="5"/>
      <c r="N3050" s="267"/>
    </row>
    <row r="3051" ht="12.75">
      <c r="I3051" s="40"/>
    </row>
    <row r="3052" spans="9:13" ht="15.75">
      <c r="I3052" s="178" t="s">
        <v>1418</v>
      </c>
      <c r="K3052" s="102" t="s">
        <v>238</v>
      </c>
      <c r="L3052" s="24" t="s">
        <v>259</v>
      </c>
      <c r="M3052" s="24" t="s">
        <v>260</v>
      </c>
    </row>
    <row r="3053" spans="9:15" ht="12.75">
      <c r="I3053" s="6" t="s">
        <v>3138</v>
      </c>
      <c r="J3053" s="55"/>
      <c r="K3053" s="16">
        <v>48.12</v>
      </c>
      <c r="L3053" s="7">
        <v>500</v>
      </c>
      <c r="M3053" s="7">
        <f>K3053/L3053*100</f>
        <v>9.623999999999999</v>
      </c>
      <c r="O3053" s="24" t="s">
        <v>3134</v>
      </c>
    </row>
    <row r="3054" spans="9:15" ht="12.75">
      <c r="I3054" s="6" t="s">
        <v>1419</v>
      </c>
      <c r="J3054" s="55">
        <v>43.96</v>
      </c>
      <c r="K3054" s="16">
        <f>J3054/4</f>
        <v>10.99</v>
      </c>
      <c r="L3054" s="7">
        <v>100</v>
      </c>
      <c r="M3054" s="7">
        <f>K3054/L3054*100</f>
        <v>10.99</v>
      </c>
      <c r="O3054" s="24" t="s">
        <v>2514</v>
      </c>
    </row>
    <row r="3055" spans="9:16" ht="12.75">
      <c r="I3055" s="6" t="s">
        <v>1422</v>
      </c>
      <c r="J3055" s="379">
        <v>55</v>
      </c>
      <c r="K3055" s="348">
        <f>J3055/5</f>
        <v>11</v>
      </c>
      <c r="L3055" s="7">
        <v>100</v>
      </c>
      <c r="M3055" s="55">
        <f>K3055/L3055*100</f>
        <v>11</v>
      </c>
      <c r="O3055" s="24" t="s">
        <v>2514</v>
      </c>
      <c r="P3055" t="s">
        <v>1421</v>
      </c>
    </row>
    <row r="3056" ht="12.75">
      <c r="I3056" s="40"/>
    </row>
    <row r="3057" spans="9:13" ht="15.75">
      <c r="I3057" s="178" t="s">
        <v>139</v>
      </c>
      <c r="K3057" s="102" t="s">
        <v>238</v>
      </c>
      <c r="L3057" s="1149" t="s">
        <v>259</v>
      </c>
      <c r="M3057" s="24" t="s">
        <v>1420</v>
      </c>
    </row>
    <row r="3058" spans="9:15" ht="12.75">
      <c r="I3058" s="15" t="s">
        <v>1415</v>
      </c>
      <c r="J3058" s="55"/>
      <c r="K3058" s="16">
        <v>10.58</v>
      </c>
      <c r="L3058" s="7">
        <v>1500</v>
      </c>
      <c r="M3058" s="16">
        <f>K3058/L3058*100</f>
        <v>0.7053333333333334</v>
      </c>
      <c r="O3058" s="24" t="s">
        <v>2877</v>
      </c>
    </row>
    <row r="3059" spans="9:15" ht="12.75">
      <c r="I3059" s="15" t="s">
        <v>1416</v>
      </c>
      <c r="J3059" s="55"/>
      <c r="K3059" s="16">
        <v>10.6</v>
      </c>
      <c r="L3059" s="7">
        <v>1500</v>
      </c>
      <c r="M3059" s="16">
        <f>K3059/L3059*100</f>
        <v>0.7066666666666667</v>
      </c>
      <c r="O3059" s="24" t="s">
        <v>1352</v>
      </c>
    </row>
    <row r="3060" spans="9:15" ht="12.75">
      <c r="I3060" s="15" t="s">
        <v>1417</v>
      </c>
      <c r="J3060" s="55"/>
      <c r="K3060" s="16">
        <v>10.6</v>
      </c>
      <c r="L3060" s="7">
        <v>2400</v>
      </c>
      <c r="M3060" s="16">
        <f>K3060/L3060*100</f>
        <v>0.4416666666666667</v>
      </c>
      <c r="O3060" s="24" t="s">
        <v>2575</v>
      </c>
    </row>
    <row r="3061" spans="9:15" ht="12.75">
      <c r="I3061" s="37" t="s">
        <v>140</v>
      </c>
      <c r="M3061" s="5"/>
      <c r="O3061" s="716" t="s">
        <v>2575</v>
      </c>
    </row>
    <row r="3062" spans="9:13" ht="12.75">
      <c r="I3062" s="40"/>
      <c r="M3062" s="5"/>
    </row>
    <row r="3063" spans="9:13" ht="15.75">
      <c r="I3063" s="248" t="s">
        <v>2985</v>
      </c>
      <c r="M3063" s="5"/>
    </row>
    <row r="3064" spans="9:13" ht="12.75">
      <c r="I3064" s="15" t="s">
        <v>1592</v>
      </c>
      <c r="M3064" s="5"/>
    </row>
    <row r="3065" spans="9:13" ht="12.75">
      <c r="I3065" s="40"/>
      <c r="M3065" s="5"/>
    </row>
    <row r="3066" ht="12.75">
      <c r="I3066" s="40"/>
    </row>
    <row r="3067" ht="12.75">
      <c r="I3067" s="40"/>
    </row>
    <row r="3068" spans="9:12" ht="12.75">
      <c r="I3068" s="363" t="s">
        <v>3058</v>
      </c>
      <c r="J3068" s="1"/>
      <c r="L3068" t="s">
        <v>2737</v>
      </c>
    </row>
    <row r="3069" spans="9:15" ht="12.75">
      <c r="I3069" s="37" t="s">
        <v>2184</v>
      </c>
      <c r="J3069" s="457"/>
      <c r="K3069" s="411">
        <v>17</v>
      </c>
      <c r="L3069">
        <v>11</v>
      </c>
      <c r="M3069" s="454">
        <f aca="true" t="shared" si="233" ref="M3069:M3074">K3069/L3069*1000</f>
        <v>1545.4545454545455</v>
      </c>
      <c r="N3069" s="459"/>
      <c r="O3069" s="24" t="s">
        <v>2646</v>
      </c>
    </row>
    <row r="3070" spans="9:15" ht="12.75">
      <c r="I3070" s="37" t="s">
        <v>3113</v>
      </c>
      <c r="J3070" s="457"/>
      <c r="K3070" s="25">
        <v>22</v>
      </c>
      <c r="L3070">
        <v>9</v>
      </c>
      <c r="M3070" s="454">
        <f t="shared" si="233"/>
        <v>2444.444444444445</v>
      </c>
      <c r="N3070" s="459"/>
      <c r="O3070" s="24" t="s">
        <v>2646</v>
      </c>
    </row>
    <row r="3071" spans="9:15" ht="12.75">
      <c r="I3071" s="40" t="s">
        <v>2727</v>
      </c>
      <c r="J3071" s="458"/>
      <c r="K3071" s="400">
        <v>24</v>
      </c>
      <c r="L3071">
        <v>16</v>
      </c>
      <c r="M3071" s="454">
        <f t="shared" si="233"/>
        <v>1500</v>
      </c>
      <c r="N3071" s="459"/>
      <c r="O3071" s="24" t="s">
        <v>2646</v>
      </c>
    </row>
    <row r="3072" spans="9:15" ht="12.75">
      <c r="I3072" s="40" t="s">
        <v>126</v>
      </c>
      <c r="J3072" s="458"/>
      <c r="K3072" s="400">
        <v>30</v>
      </c>
      <c r="L3072">
        <v>12</v>
      </c>
      <c r="M3072" s="454">
        <f t="shared" si="233"/>
        <v>2500</v>
      </c>
      <c r="N3072" s="459"/>
      <c r="O3072" s="24" t="s">
        <v>2646</v>
      </c>
    </row>
    <row r="3073" spans="9:15" ht="12.75">
      <c r="I3073" s="1" t="s">
        <v>2172</v>
      </c>
      <c r="J3073" s="458"/>
      <c r="K3073" s="333">
        <v>15.8</v>
      </c>
      <c r="L3073">
        <v>16</v>
      </c>
      <c r="M3073" s="456">
        <f t="shared" si="233"/>
        <v>987.5</v>
      </c>
      <c r="N3073" s="459"/>
      <c r="O3073" s="24" t="s">
        <v>1930</v>
      </c>
    </row>
    <row r="3074" spans="9:15" ht="12.75">
      <c r="I3074" s="1" t="s">
        <v>2173</v>
      </c>
      <c r="J3074" s="458"/>
      <c r="K3074" s="333">
        <v>16</v>
      </c>
      <c r="L3074">
        <v>12</v>
      </c>
      <c r="M3074" s="456">
        <f t="shared" si="233"/>
        <v>1333.3333333333333</v>
      </c>
      <c r="N3074" s="459"/>
      <c r="O3074" s="24" t="s">
        <v>1930</v>
      </c>
    </row>
    <row r="3075" ht="12.75">
      <c r="M3075" s="377"/>
    </row>
    <row r="3076" ht="12.75">
      <c r="M3076" s="377"/>
    </row>
    <row r="3077" spans="9:13" ht="12.75">
      <c r="I3077" s="363" t="s">
        <v>3059</v>
      </c>
      <c r="L3077" t="s">
        <v>2737</v>
      </c>
      <c r="M3077" s="377"/>
    </row>
    <row r="3078" spans="9:15" ht="12.75">
      <c r="I3078" s="59" t="s">
        <v>356</v>
      </c>
      <c r="K3078" s="460">
        <v>1.9</v>
      </c>
      <c r="L3078" s="39">
        <v>9.5</v>
      </c>
      <c r="M3078" s="462">
        <f aca="true" t="shared" si="234" ref="M3078:M3085">K3078/L3078*1000</f>
        <v>199.99999999999997</v>
      </c>
      <c r="O3078" s="24" t="s">
        <v>1226</v>
      </c>
    </row>
    <row r="3079" spans="9:15" ht="12.75">
      <c r="I3079" s="1" t="s">
        <v>3098</v>
      </c>
      <c r="K3079" s="5">
        <v>2.5</v>
      </c>
      <c r="L3079">
        <v>9</v>
      </c>
      <c r="M3079" s="377">
        <f t="shared" si="234"/>
        <v>277.77777777777777</v>
      </c>
      <c r="O3079" s="24" t="s">
        <v>1930</v>
      </c>
    </row>
    <row r="3080" spans="9:15" ht="12.75">
      <c r="I3080" s="399" t="s">
        <v>1935</v>
      </c>
      <c r="J3080" s="439"/>
      <c r="K3080" s="400">
        <v>24</v>
      </c>
      <c r="L3080" s="395">
        <v>30</v>
      </c>
      <c r="M3080" s="454">
        <f t="shared" si="234"/>
        <v>800</v>
      </c>
      <c r="O3080" s="24" t="s">
        <v>289</v>
      </c>
    </row>
    <row r="3081" spans="2:15" s="10" customFormat="1" ht="12.75">
      <c r="B3081" s="218"/>
      <c r="C3081" s="218"/>
      <c r="D3081" s="218"/>
      <c r="E3081" s="737"/>
      <c r="F3081" s="219"/>
      <c r="G3081" s="218"/>
      <c r="H3081" s="218"/>
      <c r="I3081" s="455" t="s">
        <v>2554</v>
      </c>
      <c r="J3081" s="78"/>
      <c r="K3081" s="9">
        <v>25</v>
      </c>
      <c r="L3081" s="10">
        <v>100</v>
      </c>
      <c r="M3081" s="10">
        <f t="shared" si="234"/>
        <v>250</v>
      </c>
      <c r="O3081" s="224" t="s">
        <v>1930</v>
      </c>
    </row>
    <row r="3082" spans="2:15" s="3" customFormat="1" ht="12.75">
      <c r="B3082" s="196"/>
      <c r="C3082" s="196"/>
      <c r="D3082" s="196"/>
      <c r="E3082" s="738"/>
      <c r="F3082" s="199"/>
      <c r="G3082" s="196"/>
      <c r="H3082" s="196"/>
      <c r="I3082" s="59" t="s">
        <v>940</v>
      </c>
      <c r="J3082" s="177"/>
      <c r="K3082" s="460">
        <v>2.39</v>
      </c>
      <c r="L3082" s="461">
        <v>16.5</v>
      </c>
      <c r="M3082" s="462">
        <f t="shared" si="234"/>
        <v>144.84848484848487</v>
      </c>
      <c r="O3082" s="50" t="s">
        <v>1226</v>
      </c>
    </row>
    <row r="3083" spans="9:15" ht="12.75">
      <c r="I3083" s="1" t="s">
        <v>964</v>
      </c>
      <c r="K3083" s="189">
        <v>3.5</v>
      </c>
      <c r="L3083">
        <v>15</v>
      </c>
      <c r="M3083" s="377">
        <f t="shared" si="234"/>
        <v>233.33333333333334</v>
      </c>
      <c r="O3083" s="24" t="s">
        <v>1930</v>
      </c>
    </row>
    <row r="3084" spans="9:15" ht="12.75">
      <c r="I3084" s="399" t="s">
        <v>2332</v>
      </c>
      <c r="J3084" s="439"/>
      <c r="K3084" s="346">
        <v>6</v>
      </c>
      <c r="L3084" s="395">
        <v>15</v>
      </c>
      <c r="M3084" s="454">
        <f t="shared" si="234"/>
        <v>400</v>
      </c>
      <c r="O3084" s="24" t="s">
        <v>289</v>
      </c>
    </row>
    <row r="3085" spans="2:15" s="3" customFormat="1" ht="12.75">
      <c r="B3085" s="196"/>
      <c r="C3085" s="196"/>
      <c r="D3085" s="196"/>
      <c r="E3085" s="738"/>
      <c r="F3085" s="199"/>
      <c r="G3085" s="196"/>
      <c r="H3085" s="196"/>
      <c r="I3085" s="453" t="s">
        <v>2940</v>
      </c>
      <c r="J3085" s="177"/>
      <c r="K3085" s="8">
        <v>40</v>
      </c>
      <c r="L3085" s="3">
        <v>150</v>
      </c>
      <c r="M3085" s="377">
        <f t="shared" si="234"/>
        <v>266.6666666666667</v>
      </c>
      <c r="O3085" s="50" t="s">
        <v>1930</v>
      </c>
    </row>
    <row r="3086" spans="2:15" s="3" customFormat="1" ht="12.75">
      <c r="B3086" s="196"/>
      <c r="C3086" s="196"/>
      <c r="D3086" s="196"/>
      <c r="E3086" s="738"/>
      <c r="F3086" s="199"/>
      <c r="G3086" s="196"/>
      <c r="H3086" s="196"/>
      <c r="I3086" s="453" t="s">
        <v>483</v>
      </c>
      <c r="J3086" s="177"/>
      <c r="K3086" s="8"/>
      <c r="M3086" s="377">
        <v>27</v>
      </c>
      <c r="O3086" s="50" t="s">
        <v>1663</v>
      </c>
    </row>
    <row r="3087" ht="12.75">
      <c r="M3087" s="5"/>
    </row>
    <row r="3088" spans="9:15" ht="12.75">
      <c r="I3088" s="1" t="s">
        <v>1283</v>
      </c>
      <c r="M3088" s="5">
        <v>29.7</v>
      </c>
      <c r="O3088" s="24" t="s">
        <v>1382</v>
      </c>
    </row>
    <row r="3089" spans="9:15" ht="12.75">
      <c r="I3089" s="1" t="s">
        <v>2467</v>
      </c>
      <c r="M3089" s="5">
        <v>31.7</v>
      </c>
      <c r="O3089" s="24" t="s">
        <v>1199</v>
      </c>
    </row>
    <row r="3090" spans="9:15" ht="12.75">
      <c r="I3090" s="313" t="s">
        <v>2467</v>
      </c>
      <c r="J3090" s="404"/>
      <c r="K3090" s="314"/>
      <c r="L3090" s="315"/>
      <c r="M3090" s="314">
        <v>27.5</v>
      </c>
      <c r="N3090" s="315"/>
      <c r="O3090" s="555" t="s">
        <v>2468</v>
      </c>
    </row>
    <row r="3091" spans="9:15" ht="12.75">
      <c r="I3091" s="328"/>
      <c r="J3091" s="329"/>
      <c r="K3091" s="330"/>
      <c r="L3091" s="331"/>
      <c r="M3091" s="331"/>
      <c r="N3091" s="331"/>
      <c r="O3091" s="332"/>
    </row>
    <row r="3092" spans="9:15" ht="12.75">
      <c r="I3092" s="328"/>
      <c r="J3092" s="329"/>
      <c r="K3092" s="330"/>
      <c r="L3092" s="331"/>
      <c r="M3092" s="331"/>
      <c r="N3092" s="331"/>
      <c r="O3092" s="332"/>
    </row>
    <row r="3093" spans="9:15" ht="12.75">
      <c r="I3093" s="328"/>
      <c r="J3093" s="329"/>
      <c r="K3093" s="330"/>
      <c r="L3093" s="331"/>
      <c r="M3093" s="331"/>
      <c r="N3093" s="331"/>
      <c r="O3093" s="332"/>
    </row>
    <row r="3094" spans="9:15" ht="20.25">
      <c r="I3094" s="807" t="s">
        <v>2572</v>
      </c>
      <c r="J3094" s="329"/>
      <c r="K3094" s="330"/>
      <c r="L3094" s="331"/>
      <c r="M3094" s="331"/>
      <c r="N3094" s="331"/>
      <c r="O3094" s="332"/>
    </row>
    <row r="3095" spans="9:15" ht="12.75">
      <c r="I3095" s="97" t="s">
        <v>2821</v>
      </c>
      <c r="J3095" s="163"/>
      <c r="K3095" s="276"/>
      <c r="L3095" s="297"/>
      <c r="M3095" s="297">
        <v>5</v>
      </c>
      <c r="N3095" s="331"/>
      <c r="O3095" s="448" t="s">
        <v>1281</v>
      </c>
    </row>
    <row r="3096" spans="9:15" ht="12.75">
      <c r="I3096" s="399" t="s">
        <v>953</v>
      </c>
      <c r="J3096" s="329"/>
      <c r="K3096" s="330"/>
      <c r="L3096" s="331"/>
      <c r="M3096" s="331">
        <v>7.5</v>
      </c>
      <c r="N3096" s="331"/>
      <c r="O3096" s="448" t="s">
        <v>2127</v>
      </c>
    </row>
    <row r="3097" spans="9:15" ht="12.75">
      <c r="I3097" s="352" t="s">
        <v>1549</v>
      </c>
      <c r="J3097" s="406"/>
      <c r="K3097" s="353"/>
      <c r="M3097" s="354">
        <v>3.9</v>
      </c>
      <c r="N3097" s="354"/>
      <c r="O3097" s="808" t="s">
        <v>2802</v>
      </c>
    </row>
    <row r="3098" spans="9:15" ht="12.75">
      <c r="I3098" s="328"/>
      <c r="J3098" s="329"/>
      <c r="K3098" s="330"/>
      <c r="L3098" s="331"/>
      <c r="M3098" s="331"/>
      <c r="N3098" s="331"/>
      <c r="O3098" s="332"/>
    </row>
    <row r="3099" spans="9:13" ht="18">
      <c r="I3099" s="1333" t="s">
        <v>2936</v>
      </c>
      <c r="J3099" s="102"/>
      <c r="M3099" s="24" t="s">
        <v>2938</v>
      </c>
    </row>
    <row r="3100" spans="9:15" ht="12.75">
      <c r="I3100" s="97" t="s">
        <v>2715</v>
      </c>
      <c r="J3100" s="163"/>
      <c r="K3100" s="276">
        <v>1.25</v>
      </c>
      <c r="L3100" s="297">
        <v>60</v>
      </c>
      <c r="M3100" s="276">
        <f>K3100/L3100*100</f>
        <v>2.083333333333333</v>
      </c>
      <c r="N3100" s="331"/>
      <c r="O3100" s="448" t="s">
        <v>2935</v>
      </c>
    </row>
    <row r="3101" spans="9:15" ht="12.75">
      <c r="I3101" s="37" t="s">
        <v>2937</v>
      </c>
      <c r="J3101" s="38"/>
      <c r="K3101" s="25">
        <v>1.25</v>
      </c>
      <c r="L3101" s="26">
        <v>60</v>
      </c>
      <c r="M3101" s="25">
        <f>K3101/L3101*100</f>
        <v>2.083333333333333</v>
      </c>
      <c r="N3101" s="331"/>
      <c r="O3101" s="448" t="s">
        <v>2935</v>
      </c>
    </row>
    <row r="3102" spans="9:15" ht="12.75">
      <c r="I3102" s="6" t="s">
        <v>1812</v>
      </c>
      <c r="J3102" s="55"/>
      <c r="K3102" s="16">
        <v>2.25</v>
      </c>
      <c r="L3102" s="7">
        <v>150</v>
      </c>
      <c r="M3102" s="16">
        <f>K3102/L3102*100</f>
        <v>1.5</v>
      </c>
      <c r="N3102" s="7"/>
      <c r="O3102" s="51" t="s">
        <v>2935</v>
      </c>
    </row>
    <row r="3103" spans="9:15" ht="12.75">
      <c r="I3103" s="328"/>
      <c r="J3103" s="329"/>
      <c r="K3103" s="330"/>
      <c r="L3103" s="331"/>
      <c r="M3103" s="331"/>
      <c r="N3103" s="331"/>
      <c r="O3103" s="332"/>
    </row>
    <row r="3104" spans="9:15" ht="12.75">
      <c r="I3104" s="328"/>
      <c r="J3104" s="329"/>
      <c r="K3104" s="330"/>
      <c r="L3104" s="331"/>
      <c r="M3104" s="331"/>
      <c r="N3104" s="331"/>
      <c r="O3104" s="332"/>
    </row>
    <row r="3105" spans="9:16" ht="15.75">
      <c r="I3105" s="178" t="s">
        <v>170</v>
      </c>
      <c r="J3105" s="329"/>
      <c r="K3105" s="577"/>
      <c r="L3105" s="1147" t="s">
        <v>645</v>
      </c>
      <c r="M3105" s="1148" t="s">
        <v>298</v>
      </c>
      <c r="N3105" s="331"/>
      <c r="O3105" s="332"/>
      <c r="P3105" s="1420"/>
    </row>
    <row r="3106" spans="9:15" ht="12.75">
      <c r="I3106" s="86" t="s">
        <v>1637</v>
      </c>
      <c r="J3106" s="439"/>
      <c r="K3106" s="400">
        <v>4.2</v>
      </c>
      <c r="L3106" s="395">
        <v>10</v>
      </c>
      <c r="M3106" s="454">
        <f>K3106/L3106*100</f>
        <v>42.00000000000001</v>
      </c>
      <c r="N3106" s="331"/>
      <c r="O3106" s="775" t="s">
        <v>2802</v>
      </c>
    </row>
    <row r="3107" spans="9:15" ht="12.75">
      <c r="I3107" s="37" t="s">
        <v>2535</v>
      </c>
      <c r="J3107" s="38"/>
      <c r="K3107" s="25">
        <v>3.3</v>
      </c>
      <c r="L3107" s="26">
        <v>10</v>
      </c>
      <c r="M3107" s="889">
        <f>K3107/L3107*100</f>
        <v>32.99999999999999</v>
      </c>
      <c r="O3107" s="448" t="s">
        <v>1199</v>
      </c>
    </row>
    <row r="3108" spans="9:15" ht="12.75">
      <c r="I3108" s="582" t="s">
        <v>297</v>
      </c>
      <c r="J3108" s="579"/>
      <c r="K3108" s="580">
        <v>1.15</v>
      </c>
      <c r="L3108" s="581">
        <v>10</v>
      </c>
      <c r="M3108" s="624">
        <f>K3108/L3108*100</f>
        <v>11.5</v>
      </c>
      <c r="O3108" s="448" t="s">
        <v>2802</v>
      </c>
    </row>
    <row r="3109" spans="9:15" ht="12.75">
      <c r="I3109" s="583" t="s">
        <v>1140</v>
      </c>
      <c r="J3109" s="584"/>
      <c r="K3109" s="585"/>
      <c r="L3109" s="586">
        <v>50</v>
      </c>
      <c r="M3109" s="586"/>
      <c r="N3109" s="587" t="s">
        <v>2656</v>
      </c>
      <c r="O3109" s="448" t="s">
        <v>2802</v>
      </c>
    </row>
    <row r="3110" spans="9:15" ht="12.75">
      <c r="I3110" s="1" t="s">
        <v>3171</v>
      </c>
      <c r="M3110">
        <v>17.5</v>
      </c>
      <c r="O3110" s="448" t="s">
        <v>3169</v>
      </c>
    </row>
    <row r="3111" spans="9:15" ht="15.75">
      <c r="I3111" s="578" t="s">
        <v>334</v>
      </c>
      <c r="K3111" s="5">
        <v>7.4</v>
      </c>
      <c r="L3111">
        <v>50</v>
      </c>
      <c r="M3111" s="581">
        <f>K3111/L3111*100</f>
        <v>14.800000000000002</v>
      </c>
      <c r="O3111" s="448" t="s">
        <v>2802</v>
      </c>
    </row>
    <row r="3112" spans="9:15" ht="15.75">
      <c r="I3112" s="578"/>
      <c r="M3112" s="581"/>
      <c r="O3112" s="448"/>
    </row>
    <row r="3113" spans="9:15" ht="15.75">
      <c r="I3113" s="578"/>
      <c r="M3113" s="581"/>
      <c r="O3113" s="448"/>
    </row>
    <row r="3114" ht="12.75"/>
    <row r="3115" spans="9:13" ht="18">
      <c r="I3115" s="355" t="s">
        <v>576</v>
      </c>
      <c r="J3115" s="102" t="s">
        <v>645</v>
      </c>
      <c r="M3115" s="130" t="s">
        <v>445</v>
      </c>
    </row>
    <row r="3116" spans="9:15" ht="12.75">
      <c r="I3116" s="265" t="s">
        <v>2612</v>
      </c>
      <c r="J3116" s="579"/>
      <c r="K3116" s="580"/>
      <c r="L3116" s="581"/>
      <c r="M3116" s="624"/>
      <c r="O3116" s="332"/>
    </row>
    <row r="3117" spans="9:15" ht="12.75">
      <c r="I3117" s="15" t="s">
        <v>2770</v>
      </c>
      <c r="J3117" s="1421">
        <v>55</v>
      </c>
      <c r="K3117" s="129">
        <v>10</v>
      </c>
      <c r="L3117" s="128">
        <v>3</v>
      </c>
      <c r="M3117" s="129">
        <f>K3117/L3117</f>
        <v>3.3333333333333335</v>
      </c>
      <c r="N3117" s="331"/>
      <c r="O3117" s="448" t="s">
        <v>2053</v>
      </c>
    </row>
    <row r="3118" spans="9:15" ht="12.75">
      <c r="I3118" s="277" t="s">
        <v>1725</v>
      </c>
      <c r="J3118" s="1422">
        <v>65</v>
      </c>
      <c r="K3118" s="129">
        <v>6</v>
      </c>
      <c r="L3118" s="128">
        <v>5</v>
      </c>
      <c r="M3118" s="129">
        <f>K3118/L3118</f>
        <v>1.2</v>
      </c>
      <c r="N3118" s="331"/>
      <c r="O3118" s="448" t="s">
        <v>2053</v>
      </c>
    </row>
    <row r="3119" spans="9:15" ht="12.75">
      <c r="I3119" s="6" t="s">
        <v>3000</v>
      </c>
      <c r="J3119" s="1339">
        <v>60</v>
      </c>
      <c r="K3119" s="129">
        <v>6</v>
      </c>
      <c r="L3119" s="7">
        <v>2</v>
      </c>
      <c r="M3119" s="16">
        <f aca="true" t="shared" si="235" ref="M3119:M3124">K3119/L3119</f>
        <v>3</v>
      </c>
      <c r="N3119" s="331"/>
      <c r="O3119" s="448" t="s">
        <v>848</v>
      </c>
    </row>
    <row r="3120" spans="9:15" ht="12.75">
      <c r="I3120" s="6" t="s">
        <v>803</v>
      </c>
      <c r="J3120" s="1339">
        <v>88</v>
      </c>
      <c r="K3120" s="129">
        <v>6</v>
      </c>
      <c r="L3120" s="7">
        <v>2</v>
      </c>
      <c r="M3120" s="16">
        <f t="shared" si="235"/>
        <v>3</v>
      </c>
      <c r="N3120" s="331"/>
      <c r="O3120" s="448" t="s">
        <v>848</v>
      </c>
    </row>
    <row r="3121" spans="9:15" ht="12.75">
      <c r="I3121" s="119" t="s">
        <v>2084</v>
      </c>
      <c r="J3121" s="1394">
        <v>110</v>
      </c>
      <c r="K3121" s="653">
        <v>9.99</v>
      </c>
      <c r="L3121" s="19">
        <v>3</v>
      </c>
      <c r="M3121" s="18">
        <f t="shared" si="235"/>
        <v>3.33</v>
      </c>
      <c r="N3121" s="331"/>
      <c r="O3121" s="448" t="s">
        <v>2071</v>
      </c>
    </row>
    <row r="3122" spans="9:15" ht="12.75">
      <c r="I3122" s="147" t="s">
        <v>196</v>
      </c>
      <c r="J3122" s="778">
        <v>68</v>
      </c>
      <c r="K3122" s="721">
        <v>6.99</v>
      </c>
      <c r="L3122" s="149">
        <v>3</v>
      </c>
      <c r="M3122" s="148">
        <f t="shared" si="235"/>
        <v>2.33</v>
      </c>
      <c r="N3122" s="331"/>
      <c r="O3122" s="448" t="s">
        <v>689</v>
      </c>
    </row>
    <row r="3123" spans="9:15" ht="12.75">
      <c r="I3123" s="86" t="s">
        <v>360</v>
      </c>
      <c r="J3123" s="590">
        <v>84</v>
      </c>
      <c r="K3123" s="330">
        <v>5.99</v>
      </c>
      <c r="L3123" s="331">
        <v>3</v>
      </c>
      <c r="M3123" s="330">
        <f t="shared" si="235"/>
        <v>1.9966666666666668</v>
      </c>
      <c r="N3123" s="331"/>
      <c r="O3123" s="448" t="s">
        <v>173</v>
      </c>
    </row>
    <row r="3124" spans="9:15" ht="12.75">
      <c r="I3124" s="15" t="s">
        <v>361</v>
      </c>
      <c r="J3124" s="589">
        <v>71</v>
      </c>
      <c r="K3124" s="330">
        <v>8.99</v>
      </c>
      <c r="L3124" s="331">
        <v>3</v>
      </c>
      <c r="M3124" s="330">
        <f t="shared" si="235"/>
        <v>2.9966666666666666</v>
      </c>
      <c r="N3124" s="331"/>
      <c r="O3124" s="448" t="s">
        <v>662</v>
      </c>
    </row>
    <row r="3125" spans="9:15" ht="12.75">
      <c r="I3125" s="15" t="s">
        <v>2804</v>
      </c>
      <c r="J3125" s="589">
        <v>55</v>
      </c>
      <c r="K3125" s="330">
        <v>3</v>
      </c>
      <c r="L3125" s="331">
        <v>3</v>
      </c>
      <c r="M3125" s="330">
        <v>1</v>
      </c>
      <c r="N3125" s="331"/>
      <c r="O3125" s="448" t="s">
        <v>2054</v>
      </c>
    </row>
    <row r="3126" spans="9:15" ht="12.75">
      <c r="I3126" s="15" t="s">
        <v>362</v>
      </c>
      <c r="J3126" s="589">
        <f>175/5</f>
        <v>35</v>
      </c>
      <c r="K3126" s="330">
        <v>2.99</v>
      </c>
      <c r="L3126" s="331">
        <v>5</v>
      </c>
      <c r="M3126" s="330">
        <f>K3126/L3126</f>
        <v>0.5980000000000001</v>
      </c>
      <c r="N3126" s="331"/>
      <c r="O3126" s="448" t="s">
        <v>2307</v>
      </c>
    </row>
    <row r="3127" spans="9:15" ht="12.75">
      <c r="I3127" s="6" t="s">
        <v>2914</v>
      </c>
      <c r="J3127" s="589"/>
      <c r="K3127" s="330">
        <v>5.99</v>
      </c>
      <c r="L3127" s="331">
        <v>2</v>
      </c>
      <c r="M3127" s="330">
        <f>K3127/L3127</f>
        <v>2.995</v>
      </c>
      <c r="N3127" s="331"/>
      <c r="O3127" s="716" t="s">
        <v>2802</v>
      </c>
    </row>
    <row r="3128" spans="9:15" ht="12.75">
      <c r="I3128" s="174" t="s">
        <v>1486</v>
      </c>
      <c r="J3128" s="593">
        <v>80</v>
      </c>
      <c r="K3128" s="68">
        <v>3.99</v>
      </c>
      <c r="L3128" s="69">
        <v>3</v>
      </c>
      <c r="M3128" s="68">
        <f>K3128/L3128</f>
        <v>1.33</v>
      </c>
      <c r="N3128" s="331"/>
      <c r="O3128" s="332" t="s">
        <v>2802</v>
      </c>
    </row>
    <row r="3129" spans="9:10" ht="12.75">
      <c r="I3129" s="378" t="s">
        <v>2379</v>
      </c>
      <c r="J3129" s="198">
        <v>48</v>
      </c>
    </row>
    <row r="3130" spans="9:10" ht="12.75">
      <c r="I3130" s="378" t="s">
        <v>2380</v>
      </c>
      <c r="J3130" s="198">
        <v>37</v>
      </c>
    </row>
    <row r="3131" spans="9:10" ht="12.75">
      <c r="I3131" s="378" t="s">
        <v>2618</v>
      </c>
      <c r="J3131" s="198">
        <v>30</v>
      </c>
    </row>
    <row r="3132" spans="9:15" ht="12.75">
      <c r="I3132" s="1" t="s">
        <v>322</v>
      </c>
      <c r="J3132" s="198">
        <v>51</v>
      </c>
      <c r="M3132">
        <v>5.4</v>
      </c>
      <c r="O3132" s="24">
        <v>2005</v>
      </c>
    </row>
    <row r="3133" spans="9:15" ht="12.75">
      <c r="I3133" s="328" t="s">
        <v>1967</v>
      </c>
      <c r="J3133" s="198" t="s">
        <v>1805</v>
      </c>
      <c r="M3133">
        <v>7.95</v>
      </c>
      <c r="O3133" s="24">
        <v>2005</v>
      </c>
    </row>
    <row r="3134" ht="12.75">
      <c r="J3134" s="198"/>
    </row>
    <row r="3135" ht="12.75"/>
    <row r="3136" spans="5:9" ht="18">
      <c r="E3136" s="195"/>
      <c r="I3136" s="355" t="s">
        <v>2064</v>
      </c>
    </row>
    <row r="3137" spans="5:15" ht="12.75">
      <c r="E3137" s="195"/>
      <c r="I3137" s="399" t="s">
        <v>1351</v>
      </c>
      <c r="M3137">
        <v>7</v>
      </c>
      <c r="O3137" s="24" t="s">
        <v>1607</v>
      </c>
    </row>
    <row r="3138" spans="5:15" ht="12.75">
      <c r="E3138" s="195"/>
      <c r="I3138" s="1" t="s">
        <v>3126</v>
      </c>
      <c r="M3138">
        <v>6</v>
      </c>
      <c r="O3138" s="24" t="s">
        <v>1607</v>
      </c>
    </row>
    <row r="3139" ht="12.75">
      <c r="E3139" s="195"/>
    </row>
    <row r="3140" spans="5:9" ht="18">
      <c r="E3140" s="195"/>
      <c r="I3140" s="1333" t="s">
        <v>1151</v>
      </c>
    </row>
    <row r="3141" spans="5:15" ht="12.75">
      <c r="E3141" s="195"/>
      <c r="I3141" s="2" t="s">
        <v>1659</v>
      </c>
      <c r="K3141" s="5">
        <v>2.49</v>
      </c>
      <c r="L3141">
        <v>2</v>
      </c>
      <c r="M3141" s="5">
        <f>K3141/L3141</f>
        <v>1.245</v>
      </c>
      <c r="O3141" s="88" t="s">
        <v>3154</v>
      </c>
    </row>
    <row r="3142" spans="5:15" ht="12.75">
      <c r="E3142" s="195"/>
      <c r="I3142" s="1482" t="s">
        <v>1659</v>
      </c>
      <c r="J3142" s="1483"/>
      <c r="K3142" s="1473">
        <v>2.39</v>
      </c>
      <c r="L3142" s="1474">
        <v>2</v>
      </c>
      <c r="M3142" s="1473">
        <f>K3142/L3142</f>
        <v>1.195</v>
      </c>
      <c r="O3142" s="24" t="s">
        <v>1204</v>
      </c>
    </row>
    <row r="3143" spans="5:15" ht="12.75">
      <c r="E3143" s="195"/>
      <c r="I3143" s="1" t="s">
        <v>1660</v>
      </c>
      <c r="K3143" s="5">
        <v>1.89</v>
      </c>
      <c r="L3143">
        <v>1.5</v>
      </c>
      <c r="M3143" s="5">
        <f>K3143/L3143</f>
        <v>1.26</v>
      </c>
      <c r="O3143" s="24" t="s">
        <v>1424</v>
      </c>
    </row>
    <row r="3144" ht="12.75">
      <c r="E3144" s="195"/>
    </row>
    <row r="3145" spans="5:15" ht="18">
      <c r="E3145" s="195"/>
      <c r="I3145" s="1333" t="s">
        <v>2807</v>
      </c>
      <c r="J3145" s="320"/>
      <c r="K3145" s="650"/>
      <c r="L3145" s="448" t="s">
        <v>2737</v>
      </c>
      <c r="M3145" s="448" t="s">
        <v>850</v>
      </c>
      <c r="N3145" s="447"/>
      <c r="O3145" s="448"/>
    </row>
    <row r="3146" spans="5:15" ht="12.75">
      <c r="E3146" s="195"/>
      <c r="I3146" s="1" t="s">
        <v>2809</v>
      </c>
      <c r="J3146" s="320"/>
      <c r="K3146" s="321">
        <v>10.07</v>
      </c>
      <c r="L3146" s="447">
        <v>300</v>
      </c>
      <c r="M3146" s="321">
        <f>K3146/L3146</f>
        <v>0.03356666666666667</v>
      </c>
      <c r="N3146" s="447"/>
      <c r="O3146" s="448" t="s">
        <v>2808</v>
      </c>
    </row>
    <row r="3147" spans="5:15" ht="12.75">
      <c r="E3147" s="195"/>
      <c r="J3147" s="320"/>
      <c r="K3147" s="321"/>
      <c r="L3147" s="447"/>
      <c r="M3147" s="321"/>
      <c r="N3147" s="447"/>
      <c r="O3147" s="448"/>
    </row>
    <row r="3148" spans="5:15" ht="18">
      <c r="E3148" s="195"/>
      <c r="I3148" s="1333" t="s">
        <v>851</v>
      </c>
      <c r="J3148" s="320"/>
      <c r="K3148" s="321"/>
      <c r="L3148" s="447"/>
      <c r="M3148" s="321"/>
      <c r="N3148" s="447"/>
      <c r="O3148" s="448"/>
    </row>
    <row r="3149" spans="5:15" ht="12.75">
      <c r="E3149" s="195"/>
      <c r="I3149" s="1" t="s">
        <v>852</v>
      </c>
      <c r="J3149" s="320"/>
      <c r="K3149" s="321">
        <v>19.99</v>
      </c>
      <c r="L3149" s="321">
        <v>2000</v>
      </c>
      <c r="M3149" s="321">
        <f>K3149/L3149</f>
        <v>0.009994999999999999</v>
      </c>
      <c r="N3149" s="447"/>
      <c r="O3149" s="448" t="s">
        <v>2808</v>
      </c>
    </row>
    <row r="3150" spans="5:15" ht="12.75">
      <c r="E3150" s="195"/>
      <c r="J3150" s="320"/>
      <c r="K3150" s="321"/>
      <c r="L3150" s="447"/>
      <c r="M3150" s="321"/>
      <c r="N3150" s="447"/>
      <c r="O3150" s="448"/>
    </row>
    <row r="3151" ht="12.75">
      <c r="E3151" s="195"/>
    </row>
    <row r="3152" ht="12.75">
      <c r="E3152" s="195"/>
    </row>
    <row r="3153" spans="5:9" ht="12.75">
      <c r="E3153" s="195"/>
      <c r="I3153" s="1" t="s">
        <v>2720</v>
      </c>
    </row>
    <row r="3154" ht="12.75">
      <c r="E3154" s="195"/>
    </row>
    <row r="3155" ht="12.75"/>
    <row r="3156" ht="12.75"/>
    <row r="3157" ht="12.75"/>
    <row r="3158" ht="12.75"/>
    <row r="3159" ht="12.75"/>
    <row r="3160" ht="12.75"/>
    <row r="3161" ht="12.75"/>
    <row r="3162" ht="12.75"/>
    <row r="3163" ht="12.75"/>
    <row r="3164" ht="12.75"/>
    <row r="3165" ht="12.75"/>
    <row r="3166" ht="12.75"/>
    <row r="3167" ht="12.75"/>
    <row r="3168" ht="12.75"/>
    <row r="3169" ht="12.75"/>
    <row r="3170" ht="12.75"/>
    <row r="3171" ht="12.75"/>
    <row r="3172" ht="12.75"/>
    <row r="3173" ht="12.75"/>
    <row r="3174" ht="12.75"/>
    <row r="3175" ht="12.75"/>
    <row r="3176" ht="12.75"/>
    <row r="3177" ht="12.75"/>
    <row r="3178" ht="12.75"/>
    <row r="3179" ht="12.75"/>
    <row r="3180" ht="12.75"/>
    <row r="3181" ht="12.75"/>
    <row r="3182" ht="12.75"/>
    <row r="3183" ht="12.75"/>
    <row r="3184" ht="12.75"/>
    <row r="3185" ht="12.75"/>
    <row r="3186" ht="12.75"/>
    <row r="3187" ht="12.75"/>
    <row r="3188" ht="12.75"/>
    <row r="3189" ht="12.75"/>
    <row r="3190" ht="12.75"/>
    <row r="3191" ht="12.75"/>
    <row r="3192" ht="12.75"/>
    <row r="3193" ht="12.75"/>
    <row r="3194" ht="12.75"/>
    <row r="3195" ht="12.75"/>
    <row r="3196" ht="12.75"/>
    <row r="3197" ht="12.75"/>
    <row r="3198" ht="12.75"/>
    <row r="3199" ht="12.75"/>
    <row r="3200" ht="12.75"/>
    <row r="3201" ht="12.75"/>
    <row r="3202" ht="12.75"/>
    <row r="3203" ht="12.75"/>
    <row r="3204" ht="12.75"/>
    <row r="3205" ht="12.75"/>
    <row r="3206" ht="12.75"/>
    <row r="3207" ht="12.75"/>
    <row r="3208" ht="12.75"/>
    <row r="3209" ht="12.75"/>
    <row r="3210" ht="12.75"/>
    <row r="3211" ht="12.75"/>
    <row r="3212" ht="12.75"/>
    <row r="3213" ht="12.75"/>
    <row r="3214" ht="12.75"/>
    <row r="3215" ht="12.75"/>
    <row r="3216" ht="12.75"/>
    <row r="3217" ht="12.75"/>
    <row r="3218" ht="12.75"/>
    <row r="3219" ht="12.75"/>
    <row r="3220" ht="12.75"/>
    <row r="3221" ht="12.75"/>
    <row r="3222" ht="12.75"/>
    <row r="3223" ht="12.75"/>
    <row r="3224" ht="12.75"/>
    <row r="3225" ht="12.75"/>
    <row r="3226" ht="12.75"/>
    <row r="3227" ht="12.75"/>
    <row r="3228" ht="12.75"/>
    <row r="3229" ht="12.75"/>
    <row r="3230" ht="12.75"/>
    <row r="3231" ht="12.75"/>
    <row r="3232" ht="12.75"/>
    <row r="3233" ht="12.75"/>
    <row r="3234" ht="12.75"/>
    <row r="3235" ht="12.75"/>
    <row r="3236" ht="12.75"/>
    <row r="3237" ht="12.75"/>
    <row r="3238" ht="12.75"/>
    <row r="3239" ht="12.75"/>
    <row r="3240" ht="12.75"/>
    <row r="3241" ht="12.75"/>
    <row r="3242" ht="12.75"/>
    <row r="3243" ht="12.75"/>
    <row r="3244" ht="12.75"/>
    <row r="3245" ht="12.75"/>
    <row r="3247" ht="12.75"/>
    <row r="3248" ht="12.75"/>
    <row r="3249" ht="12.75"/>
    <row r="3250" ht="12.75"/>
    <row r="3251" ht="12.75"/>
    <row r="3252" ht="12.75"/>
    <row r="3253" ht="12.75"/>
    <row r="3254" ht="12.75"/>
    <row r="3255" ht="12.75"/>
  </sheetData>
  <sheetProtection/>
  <mergeCells count="9">
    <mergeCell ref="B1:G1"/>
    <mergeCell ref="J1:M1"/>
    <mergeCell ref="C2038:F2038"/>
    <mergeCell ref="C2869:G2869"/>
    <mergeCell ref="C9:F9"/>
    <mergeCell ref="C10:F10"/>
    <mergeCell ref="J2673:M2673"/>
    <mergeCell ref="K1148:M1148"/>
    <mergeCell ref="J24:N24"/>
  </mergeCells>
  <conditionalFormatting sqref="A466 A405:A408 A414:A431 A411">
    <cfRule type="expression" priority="5" dxfId="0" stopIfTrue="1">
      <formula>ABS(F405-A405)&gt;(F405*$A$3/100)</formula>
    </cfRule>
  </conditionalFormatting>
  <conditionalFormatting sqref="A413">
    <cfRule type="expression" priority="4" dxfId="0" stopIfTrue="1">
      <formula>ABS(F413-A413)&gt;(F413*$A$3/100)</formula>
    </cfRule>
  </conditionalFormatting>
  <conditionalFormatting sqref="A412">
    <cfRule type="expression" priority="3" dxfId="0" stopIfTrue="1">
      <formula>ABS(F412-A412)&gt;(F412*$A$3/100)</formula>
    </cfRule>
  </conditionalFormatting>
  <conditionalFormatting sqref="A410">
    <cfRule type="expression" priority="2" dxfId="0" stopIfTrue="1">
      <formula>ABS(F410-A410)&gt;(F410*$A$3/100)</formula>
    </cfRule>
  </conditionalFormatting>
  <conditionalFormatting sqref="A409">
    <cfRule type="expression" priority="1" dxfId="0" stopIfTrue="1">
      <formula>ABS(F409-A409)&gt;(F409*$A$3/100)</formula>
    </cfRule>
  </conditionalFormatting>
  <printOptions/>
  <pageMargins left="0.787401575" right="0.787401575" top="0.984251969" bottom="0.984251969" header="0.5" footer="0.5"/>
  <pageSetup horizontalDpi="360" verticalDpi="360" orientation="portrait" paperSize="9" r:id="rId3"/>
  <ignoredErrors>
    <ignoredError sqref="N1244 N1448 J1326:J1327 N209 N1589 N85 N2664:N2665 N2117" numberStoredAsText="1"/>
    <ignoredError sqref="K1830 K2053" formula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S1389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9.140625" style="0" customWidth="1"/>
    <col min="2" max="2" width="22.00390625" style="0" customWidth="1"/>
    <col min="3" max="3" width="2.421875" style="0" customWidth="1"/>
    <col min="4" max="4" width="9.140625" style="0" customWidth="1"/>
    <col min="5" max="5" width="31.421875" style="0" customWidth="1"/>
    <col min="6" max="6" width="3.140625" style="0" customWidth="1"/>
    <col min="7" max="7" width="9.140625" style="0" customWidth="1"/>
    <col min="8" max="8" width="43.57421875" style="0" customWidth="1"/>
  </cols>
  <sheetData>
    <row r="1" ht="5.25" customHeight="1"/>
    <row r="2" spans="1:19" s="289" customFormat="1" ht="17.25">
      <c r="A2" s="312" t="s">
        <v>2667</v>
      </c>
      <c r="B2" s="312"/>
      <c r="D2" s="1614" t="s">
        <v>2627</v>
      </c>
      <c r="E2" s="1614"/>
      <c r="G2" s="311" t="s">
        <v>2668</v>
      </c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</row>
    <row r="3" spans="1:19" s="289" customFormat="1" ht="4.5" customHeight="1">
      <c r="A3" s="290"/>
      <c r="B3" s="290"/>
      <c r="D3" s="292"/>
      <c r="E3" s="292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</row>
    <row r="4" spans="1:19" ht="15">
      <c r="A4" s="293">
        <v>296</v>
      </c>
      <c r="B4" s="293" t="s">
        <v>2424</v>
      </c>
      <c r="C4" s="49"/>
      <c r="D4" s="294"/>
      <c r="E4" s="294"/>
      <c r="F4" s="49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</row>
    <row r="5" spans="1:19" ht="15">
      <c r="A5" s="293">
        <v>297</v>
      </c>
      <c r="B5" s="293" t="s">
        <v>2423</v>
      </c>
      <c r="C5" s="49"/>
      <c r="D5" s="294">
        <v>200</v>
      </c>
      <c r="E5" s="294" t="s">
        <v>1060</v>
      </c>
      <c r="F5" s="49"/>
      <c r="G5" s="291">
        <v>385</v>
      </c>
      <c r="H5" s="295" t="s">
        <v>825</v>
      </c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</row>
    <row r="6" spans="1:19" ht="15">
      <c r="A6" s="293">
        <v>300</v>
      </c>
      <c r="B6" s="293" t="s">
        <v>2425</v>
      </c>
      <c r="C6" s="49"/>
      <c r="D6" s="294">
        <v>201</v>
      </c>
      <c r="E6" s="294" t="s">
        <v>539</v>
      </c>
      <c r="F6" s="49"/>
      <c r="G6" s="291">
        <v>435</v>
      </c>
      <c r="H6" s="295" t="s">
        <v>2037</v>
      </c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</row>
    <row r="7" spans="1:19" ht="15">
      <c r="A7" s="296" t="s">
        <v>2850</v>
      </c>
      <c r="B7" s="293" t="s">
        <v>266</v>
      </c>
      <c r="C7" s="49"/>
      <c r="D7" s="294">
        <v>201</v>
      </c>
      <c r="E7" s="294" t="s">
        <v>2666</v>
      </c>
      <c r="F7" s="49"/>
      <c r="G7" s="39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</row>
    <row r="8" spans="1:19" ht="15">
      <c r="A8" s="293">
        <v>322</v>
      </c>
      <c r="B8" s="293" t="s">
        <v>3112</v>
      </c>
      <c r="C8" s="49"/>
      <c r="D8" s="294">
        <v>223</v>
      </c>
      <c r="E8" s="294" t="s">
        <v>1381</v>
      </c>
      <c r="F8" s="49"/>
      <c r="G8" s="291">
        <v>466</v>
      </c>
      <c r="H8" s="295" t="s">
        <v>394</v>
      </c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</row>
    <row r="9" spans="1:19" ht="15">
      <c r="A9" s="296" t="s">
        <v>3078</v>
      </c>
      <c r="B9" s="293" t="s">
        <v>1432</v>
      </c>
      <c r="C9" s="49"/>
      <c r="D9" s="294"/>
      <c r="E9" s="294"/>
      <c r="F9" s="49"/>
      <c r="G9" s="289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</row>
    <row r="10" spans="1:19" ht="15">
      <c r="A10" s="293">
        <v>330</v>
      </c>
      <c r="B10" s="293" t="s">
        <v>1059</v>
      </c>
      <c r="C10" s="49"/>
      <c r="D10" s="294"/>
      <c r="E10" s="294"/>
      <c r="F10" s="49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</row>
    <row r="11" spans="1:19" ht="15">
      <c r="A11" s="296" t="s">
        <v>1433</v>
      </c>
      <c r="B11" s="293" t="s">
        <v>3097</v>
      </c>
      <c r="C11" s="49"/>
      <c r="D11" s="294">
        <v>401</v>
      </c>
      <c r="E11" s="294" t="s">
        <v>1848</v>
      </c>
      <c r="F11" s="49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</row>
    <row r="12" spans="1:19" ht="15">
      <c r="A12" s="293">
        <v>338</v>
      </c>
      <c r="B12" s="293" t="s">
        <v>3120</v>
      </c>
      <c r="C12" s="49"/>
      <c r="D12" s="294"/>
      <c r="E12" s="294"/>
      <c r="F12" s="49"/>
      <c r="I12" s="295"/>
      <c r="J12" s="295"/>
      <c r="K12" s="295"/>
      <c r="L12" s="295"/>
      <c r="M12" s="295"/>
      <c r="N12" s="295"/>
      <c r="O12" s="295"/>
      <c r="P12" s="295"/>
      <c r="Q12" s="295"/>
      <c r="R12" s="295"/>
      <c r="S12" s="295"/>
    </row>
    <row r="13" spans="3:19" ht="15">
      <c r="C13" s="49"/>
      <c r="D13" s="294">
        <v>412</v>
      </c>
      <c r="E13" s="294" t="s">
        <v>2301</v>
      </c>
      <c r="F13" s="49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</row>
    <row r="14" spans="3:19" ht="15">
      <c r="C14" s="49"/>
      <c r="D14" s="294">
        <v>415</v>
      </c>
      <c r="E14" s="294" t="s">
        <v>1849</v>
      </c>
      <c r="F14" s="49"/>
      <c r="G14" s="291">
        <v>471</v>
      </c>
      <c r="H14" s="295" t="s">
        <v>2653</v>
      </c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</row>
    <row r="15" spans="1:19" ht="15">
      <c r="A15" s="293">
        <v>500</v>
      </c>
      <c r="B15" s="293" t="s">
        <v>1737</v>
      </c>
      <c r="C15" s="49"/>
      <c r="D15" s="687">
        <v>416</v>
      </c>
      <c r="E15" s="687" t="s">
        <v>2444</v>
      </c>
      <c r="F15" s="49"/>
      <c r="G15" s="291">
        <v>472</v>
      </c>
      <c r="H15" s="295" t="s">
        <v>52</v>
      </c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</row>
    <row r="16" spans="1:19" ht="15">
      <c r="A16" s="293">
        <v>524</v>
      </c>
      <c r="B16" s="293" t="s">
        <v>310</v>
      </c>
      <c r="C16" s="49"/>
      <c r="D16" s="294"/>
      <c r="E16" s="294"/>
      <c r="F16" s="49"/>
      <c r="G16" s="291">
        <v>475</v>
      </c>
      <c r="H16" s="295" t="s">
        <v>257</v>
      </c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</row>
    <row r="17" spans="1:19" ht="15">
      <c r="A17" s="293"/>
      <c r="B17" s="293"/>
      <c r="C17" s="49"/>
      <c r="D17" s="687">
        <v>535</v>
      </c>
      <c r="E17" s="687" t="s">
        <v>1938</v>
      </c>
      <c r="F17" s="49"/>
      <c r="G17" s="291">
        <v>476</v>
      </c>
      <c r="H17" s="295" t="s">
        <v>2254</v>
      </c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</row>
    <row r="18" spans="1:19" ht="15">
      <c r="A18" s="293"/>
      <c r="B18" s="293"/>
      <c r="C18" s="49"/>
      <c r="D18" s="294"/>
      <c r="E18" s="294"/>
      <c r="F18" s="49"/>
      <c r="G18" s="295"/>
      <c r="H18" s="295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</row>
    <row r="19" spans="1:19" ht="15">
      <c r="A19" s="690"/>
      <c r="B19" s="690"/>
      <c r="C19" s="49"/>
      <c r="D19" s="294"/>
      <c r="E19" s="294"/>
      <c r="F19" s="49"/>
      <c r="G19" s="49"/>
      <c r="H19" s="295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</row>
    <row r="20" spans="1:19" ht="15">
      <c r="A20" s="293"/>
      <c r="B20" s="293"/>
      <c r="C20" s="49"/>
      <c r="D20" s="294"/>
      <c r="E20" s="294"/>
      <c r="F20" s="49"/>
      <c r="G20" s="291" t="s">
        <v>51</v>
      </c>
      <c r="H20" s="295" t="s">
        <v>861</v>
      </c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</row>
    <row r="21" spans="1:19" ht="15">
      <c r="A21" s="293"/>
      <c r="B21" s="293"/>
      <c r="C21" s="49"/>
      <c r="D21" s="294"/>
      <c r="E21" s="294" t="s">
        <v>1736</v>
      </c>
      <c r="F21" s="49"/>
      <c r="G21" s="49"/>
      <c r="H21" s="295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</row>
    <row r="22" spans="1:19" ht="15">
      <c r="A22" s="293"/>
      <c r="B22" s="293"/>
      <c r="C22" s="49"/>
      <c r="D22" s="294"/>
      <c r="E22" s="294"/>
      <c r="F22" s="49"/>
      <c r="G22" s="49"/>
      <c r="H22" s="295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</row>
    <row r="23" spans="1:8" ht="15">
      <c r="A23" s="293"/>
      <c r="B23" s="293"/>
      <c r="C23" s="49"/>
      <c r="D23" s="294"/>
      <c r="E23" s="294"/>
      <c r="F23" s="49"/>
      <c r="G23" s="49"/>
      <c r="H23" s="295"/>
    </row>
    <row r="24" spans="1:8" ht="15">
      <c r="A24" s="49"/>
      <c r="B24" s="49"/>
      <c r="C24" s="49"/>
      <c r="D24" s="294"/>
      <c r="E24" s="294"/>
      <c r="F24" s="49"/>
      <c r="H24" s="295"/>
    </row>
    <row r="25" spans="1:8" ht="15">
      <c r="A25" s="49"/>
      <c r="B25" s="49"/>
      <c r="C25" s="49"/>
      <c r="D25" s="294"/>
      <c r="E25" s="294"/>
      <c r="F25" s="49"/>
      <c r="H25" s="295"/>
    </row>
    <row r="26" spans="4:8" ht="15">
      <c r="D26" s="294"/>
      <c r="E26" s="294"/>
      <c r="F26" s="49"/>
      <c r="H26" s="295"/>
    </row>
    <row r="27" spans="4:8" ht="15">
      <c r="D27" s="294"/>
      <c r="E27" s="294"/>
      <c r="F27" s="49"/>
      <c r="H27" s="295"/>
    </row>
    <row r="28" spans="4:6" ht="15">
      <c r="D28" s="294"/>
      <c r="E28" s="294"/>
      <c r="F28" s="49"/>
    </row>
    <row r="29" spans="4:6" ht="15">
      <c r="D29" s="294"/>
      <c r="E29" s="294"/>
      <c r="F29" s="49"/>
    </row>
    <row r="30" spans="4:6" ht="15">
      <c r="D30" s="49"/>
      <c r="E30" s="49"/>
      <c r="F30" s="49"/>
    </row>
    <row r="31" spans="4:6" ht="15">
      <c r="D31" s="49"/>
      <c r="E31" s="49"/>
      <c r="F31" s="49"/>
    </row>
    <row r="32" spans="4:6" ht="15">
      <c r="D32" s="49"/>
      <c r="E32" s="49"/>
      <c r="F32" s="49"/>
    </row>
    <row r="33" spans="4:6" ht="15">
      <c r="D33" s="49"/>
      <c r="E33" s="49"/>
      <c r="F33" s="49"/>
    </row>
    <row r="34" spans="4:6" ht="15">
      <c r="D34" s="49"/>
      <c r="E34" s="49"/>
      <c r="F34" s="49"/>
    </row>
    <row r="709" spans="9:13" ht="12.75">
      <c r="I709">
        <v>1.99</v>
      </c>
      <c r="M709" t="s">
        <v>415</v>
      </c>
    </row>
    <row r="710" spans="7:11" ht="12.75">
      <c r="G710" s="30"/>
      <c r="H710" s="30"/>
      <c r="I710" s="30"/>
      <c r="J710" s="30"/>
      <c r="K710" s="30"/>
    </row>
    <row r="711" spans="7:11" ht="12.75">
      <c r="G711" s="30"/>
      <c r="H711" s="30"/>
      <c r="I711" s="30"/>
      <c r="J711" s="30"/>
      <c r="K711" s="30"/>
    </row>
    <row r="1388" s="10" customFormat="1" ht="12.75"/>
    <row r="1389" spans="8:13" s="3" customFormat="1" ht="12.75">
      <c r="H1389" s="777">
        <v>0.89</v>
      </c>
      <c r="L1389" s="13" t="s">
        <v>1362</v>
      </c>
      <c r="M1389" s="3" t="s">
        <v>337</v>
      </c>
    </row>
  </sheetData>
  <sheetProtection/>
  <mergeCells count="1">
    <mergeCell ref="D2:E2"/>
  </mergeCells>
  <printOptions/>
  <pageMargins left="0.787401575" right="0.787401575" top="0.984251969" bottom="0.984251969" header="0.5" footer="0.5"/>
  <pageSetup horizontalDpi="360" verticalDpi="36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J30"/>
  <sheetViews>
    <sheetView zoomScale="179" zoomScaleNormal="179" zoomScalePageLayoutView="0" workbookViewId="0" topLeftCell="A1">
      <selection activeCell="D5" sqref="D5"/>
    </sheetView>
  </sheetViews>
  <sheetFormatPr defaultColWidth="11.421875" defaultRowHeight="12.75"/>
  <cols>
    <col min="1" max="1" width="1.28515625" style="0" customWidth="1"/>
    <col min="2" max="2" width="15.57421875" style="2" bestFit="1" customWidth="1"/>
    <col min="3" max="3" width="6.57421875" style="88" customWidth="1"/>
    <col min="4" max="4" width="9.00390625" style="1008" customWidth="1"/>
    <col min="5" max="5" width="7.28125" style="1008" customWidth="1"/>
    <col min="6" max="7" width="7.00390625" style="0" customWidth="1"/>
    <col min="8" max="8" width="0.2890625" style="0" customWidth="1"/>
    <col min="9" max="9" width="6.7109375" style="0" customWidth="1"/>
  </cols>
  <sheetData>
    <row r="1" ht="4.5" customHeight="1"/>
    <row r="2" spans="2:7" ht="12.75">
      <c r="B2" s="1615" t="s">
        <v>2493</v>
      </c>
      <c r="C2" s="1616"/>
      <c r="D2" s="1616"/>
      <c r="E2" s="1617"/>
      <c r="F2" s="1615" t="s">
        <v>561</v>
      </c>
      <c r="G2" s="1616"/>
    </row>
    <row r="3" spans="2:7" s="39" customFormat="1" ht="12.75">
      <c r="B3" s="1036"/>
      <c r="C3" s="1037" t="s">
        <v>645</v>
      </c>
      <c r="D3" s="1037" t="s">
        <v>2490</v>
      </c>
      <c r="E3" s="1038" t="s">
        <v>2491</v>
      </c>
      <c r="F3" s="1037" t="s">
        <v>562</v>
      </c>
      <c r="G3" s="1038" t="s">
        <v>563</v>
      </c>
    </row>
    <row r="4" spans="2:9" ht="12.75">
      <c r="B4" s="1039" t="s">
        <v>1624</v>
      </c>
      <c r="C4" s="286">
        <v>125</v>
      </c>
      <c r="D4" s="1117">
        <f>PREISE!M1742</f>
        <v>10.437199999999999</v>
      </c>
      <c r="E4" s="1041">
        <f aca="true" t="shared" si="0" ref="E4:E10">C4*D4/1000</f>
        <v>1.3046499999999999</v>
      </c>
      <c r="F4" s="1325">
        <f>PREISE!F1741/100</f>
        <v>14.49</v>
      </c>
      <c r="G4" s="1041">
        <f aca="true" t="shared" si="1" ref="G4:G10">C4*F4/1000</f>
        <v>1.81125</v>
      </c>
      <c r="H4" s="33"/>
      <c r="I4" s="33"/>
    </row>
    <row r="5" spans="2:9" ht="12.75">
      <c r="B5" s="1039" t="s">
        <v>1837</v>
      </c>
      <c r="C5" s="286">
        <v>50</v>
      </c>
      <c r="D5" s="1117">
        <f>PREISE!M2246</f>
        <v>26.804333333333332</v>
      </c>
      <c r="E5" s="1041">
        <f t="shared" si="0"/>
        <v>1.3402166666666666</v>
      </c>
      <c r="F5" s="1325">
        <f>PREISE!F2244/100</f>
        <v>14.79</v>
      </c>
      <c r="G5" s="1041">
        <f t="shared" si="1"/>
        <v>0.7395</v>
      </c>
      <c r="H5" s="33"/>
      <c r="I5" s="33"/>
    </row>
    <row r="6" spans="2:9" ht="12.75">
      <c r="B6" s="1039" t="s">
        <v>784</v>
      </c>
      <c r="C6" s="286">
        <v>50</v>
      </c>
      <c r="D6" s="1117">
        <f>PREISE!M2237</f>
        <v>11.058</v>
      </c>
      <c r="E6" s="1041">
        <f t="shared" si="0"/>
        <v>0.5529</v>
      </c>
      <c r="F6" s="1327">
        <f>PREISE!F2244/100</f>
        <v>14.79</v>
      </c>
      <c r="G6" s="1041">
        <f t="shared" si="1"/>
        <v>0.7395</v>
      </c>
      <c r="H6" s="33"/>
      <c r="I6" s="33"/>
    </row>
    <row r="7" spans="2:9" ht="12.75">
      <c r="B7" s="1039" t="s">
        <v>1625</v>
      </c>
      <c r="C7" s="286">
        <v>125</v>
      </c>
      <c r="D7" s="1117">
        <f>PREISE!M1693</f>
        <v>7.4</v>
      </c>
      <c r="E7" s="1041">
        <f t="shared" si="0"/>
        <v>0.925</v>
      </c>
      <c r="F7" s="1325">
        <f>PREISE!F1692/100</f>
        <v>15.06</v>
      </c>
      <c r="G7" s="1041">
        <f t="shared" si="1"/>
        <v>1.8825</v>
      </c>
      <c r="H7" s="33"/>
      <c r="I7" s="33"/>
    </row>
    <row r="8" spans="2:9" ht="12.75">
      <c r="B8" s="1039" t="s">
        <v>377</v>
      </c>
      <c r="C8" s="286">
        <v>20</v>
      </c>
      <c r="D8" s="1117">
        <f>PREISE!M1195</f>
        <v>17.1205</v>
      </c>
      <c r="E8" s="1041">
        <f t="shared" si="0"/>
        <v>0.34241</v>
      </c>
      <c r="F8" s="1325">
        <f>PREISE!F1190/100</f>
        <v>14.98</v>
      </c>
      <c r="G8" s="1041">
        <f t="shared" si="1"/>
        <v>0.29960000000000003</v>
      </c>
      <c r="H8" s="33"/>
      <c r="I8" s="33"/>
    </row>
    <row r="9" spans="2:9" ht="12.75">
      <c r="B9" s="1039" t="s">
        <v>1300</v>
      </c>
      <c r="C9" s="286">
        <v>10</v>
      </c>
      <c r="D9" s="1117">
        <f>PREISE!M2231</f>
        <v>14.5403</v>
      </c>
      <c r="E9" s="1041">
        <f t="shared" si="0"/>
        <v>0.145403</v>
      </c>
      <c r="F9" s="1325">
        <v>10</v>
      </c>
      <c r="G9" s="1041">
        <f t="shared" si="1"/>
        <v>0.1</v>
      </c>
      <c r="H9" s="33"/>
      <c r="I9" s="33"/>
    </row>
    <row r="10" spans="2:9" ht="12.75">
      <c r="B10" s="1042" t="s">
        <v>378</v>
      </c>
      <c r="C10" s="217">
        <v>0.5</v>
      </c>
      <c r="D10" s="1118">
        <f>PREISE!M25</f>
        <v>298.27500000000003</v>
      </c>
      <c r="E10" s="1043">
        <f t="shared" si="0"/>
        <v>0.1491375</v>
      </c>
      <c r="F10" s="1118">
        <v>0</v>
      </c>
      <c r="G10" s="1043">
        <f t="shared" si="1"/>
        <v>0</v>
      </c>
      <c r="H10" s="33"/>
      <c r="I10" s="33"/>
    </row>
    <row r="11" spans="2:10" ht="12.75">
      <c r="B11" s="1036" t="s">
        <v>2492</v>
      </c>
      <c r="C11" s="1044">
        <f>SUM(C4:C10)</f>
        <v>380.5</v>
      </c>
      <c r="D11" s="217"/>
      <c r="E11" s="1078">
        <f>SUM(E4:E10)</f>
        <v>4.759717166666666</v>
      </c>
      <c r="F11" s="217"/>
      <c r="G11" s="1078">
        <f>SUM(G4:G10)</f>
        <v>5.572349999999999</v>
      </c>
      <c r="H11" s="33"/>
      <c r="I11" s="33">
        <f>G11/4.18</f>
        <v>1.3330980861244017</v>
      </c>
      <c r="J11" t="s">
        <v>564</v>
      </c>
    </row>
    <row r="12" spans="4:9" ht="12.75">
      <c r="D12" s="88"/>
      <c r="E12" s="88"/>
      <c r="F12" s="33"/>
      <c r="G12" s="33"/>
      <c r="H12" s="33"/>
      <c r="I12" s="33"/>
    </row>
    <row r="13" spans="2:9" ht="12.75">
      <c r="B13" s="1615" t="s">
        <v>1916</v>
      </c>
      <c r="C13" s="1616"/>
      <c r="D13" s="1616"/>
      <c r="E13" s="1617"/>
      <c r="F13" s="1079"/>
      <c r="G13" s="702"/>
      <c r="H13" s="1080"/>
      <c r="I13" s="134"/>
    </row>
    <row r="14" spans="2:9" ht="12.75">
      <c r="B14" s="1036"/>
      <c r="C14" s="1037" t="s">
        <v>645</v>
      </c>
      <c r="D14" s="1037" t="s">
        <v>2490</v>
      </c>
      <c r="E14" s="1038" t="s">
        <v>2491</v>
      </c>
      <c r="F14" s="1077" t="s">
        <v>2043</v>
      </c>
      <c r="G14" s="1077" t="s">
        <v>2905</v>
      </c>
      <c r="H14" s="1038"/>
      <c r="I14" s="305"/>
    </row>
    <row r="15" spans="2:9" ht="12.75">
      <c r="B15" s="1039" t="s">
        <v>1917</v>
      </c>
      <c r="C15" s="286">
        <v>1</v>
      </c>
      <c r="D15" s="1040">
        <f>PREISE!M2465</f>
        <v>35.405</v>
      </c>
      <c r="E15" s="1041">
        <f aca="true" t="shared" si="2" ref="E15:E21">C15*D15/1000</f>
        <v>0.035405</v>
      </c>
      <c r="F15" s="1081"/>
      <c r="G15" s="134"/>
      <c r="H15" s="1071"/>
      <c r="I15" s="134"/>
    </row>
    <row r="16" spans="2:9" ht="12.75">
      <c r="B16" s="1039" t="s">
        <v>1918</v>
      </c>
      <c r="C16" s="286">
        <v>1</v>
      </c>
      <c r="D16" s="1040">
        <f>PREISE!M2464</f>
        <v>38.606</v>
      </c>
      <c r="E16" s="1041">
        <f t="shared" si="2"/>
        <v>0.038606</v>
      </c>
      <c r="G16" s="134"/>
      <c r="H16" s="1071"/>
      <c r="I16" s="134"/>
    </row>
    <row r="17" spans="2:10" ht="12.75">
      <c r="B17" s="1039" t="s">
        <v>1919</v>
      </c>
      <c r="C17" s="286">
        <v>1</v>
      </c>
      <c r="D17" s="1090">
        <f>PREISE!$M2478</f>
        <v>55.5325</v>
      </c>
      <c r="E17" s="1041">
        <f t="shared" si="2"/>
        <v>0.0555325</v>
      </c>
      <c r="F17" s="1089">
        <f>PREISE!$M2474</f>
        <v>27.933333333333334</v>
      </c>
      <c r="G17" s="1090">
        <f>PREISE!$M2478</f>
        <v>55.5325</v>
      </c>
      <c r="H17" s="1071"/>
      <c r="I17" s="134"/>
      <c r="J17" s="33"/>
    </row>
    <row r="18" spans="2:9" ht="12.75">
      <c r="B18" s="1039" t="s">
        <v>1920</v>
      </c>
      <c r="C18" s="286">
        <v>3</v>
      </c>
      <c r="D18" s="1040">
        <f>PREISE!M2429</f>
        <v>56.857142857142854</v>
      </c>
      <c r="E18" s="1041">
        <f t="shared" si="2"/>
        <v>0.17057142857142857</v>
      </c>
      <c r="F18" s="1072"/>
      <c r="G18" s="134"/>
      <c r="H18" s="1071"/>
      <c r="I18" s="134"/>
    </row>
    <row r="19" spans="2:9" ht="12.75">
      <c r="B19" s="1039" t="s">
        <v>1921</v>
      </c>
      <c r="C19" s="286">
        <v>3</v>
      </c>
      <c r="D19" s="1040">
        <f>PREISE!M2379</f>
        <v>55.5325</v>
      </c>
      <c r="E19" s="1041">
        <f t="shared" si="2"/>
        <v>0.1665975</v>
      </c>
      <c r="F19" s="1072"/>
      <c r="G19" s="134"/>
      <c r="H19" s="1071"/>
      <c r="I19" s="134"/>
    </row>
    <row r="20" spans="2:9" ht="12.75">
      <c r="B20" s="1039" t="s">
        <v>2021</v>
      </c>
      <c r="C20" s="286">
        <v>3</v>
      </c>
      <c r="D20" s="1090">
        <f>PREISE!$M2511</f>
        <v>18.51083333333333</v>
      </c>
      <c r="E20" s="1041">
        <f t="shared" si="2"/>
        <v>0.05553249999999999</v>
      </c>
      <c r="F20" s="1089">
        <f>PREISE!$M2509</f>
        <v>19.916666666666668</v>
      </c>
      <c r="G20" s="1090">
        <f>PREISE!$M2511</f>
        <v>18.51083333333333</v>
      </c>
      <c r="H20" s="1071"/>
      <c r="I20" s="134"/>
    </row>
    <row r="21" spans="2:9" ht="13.5" thickBot="1">
      <c r="B21" s="1073" t="s">
        <v>2022</v>
      </c>
      <c r="C21" s="286">
        <v>12</v>
      </c>
      <c r="D21" s="1074" t="e">
        <f>PREISE!#REF!</f>
        <v>#REF!</v>
      </c>
      <c r="E21" s="1043" t="e">
        <f t="shared" si="2"/>
        <v>#REF!</v>
      </c>
      <c r="F21" s="1075"/>
      <c r="G21" s="77"/>
      <c r="H21" s="1076"/>
      <c r="I21" s="134"/>
    </row>
    <row r="22" spans="2:9" ht="13.5" thickTop="1">
      <c r="B22" s="1036" t="s">
        <v>2492</v>
      </c>
      <c r="C22" s="1082">
        <f>SUM(C15:C21)</f>
        <v>24</v>
      </c>
      <c r="D22" s="1083" t="e">
        <f>E22/C22*1000</f>
        <v>#REF!</v>
      </c>
      <c r="E22" s="1084" t="e">
        <f>SUM(E15:E21)</f>
        <v>#REF!</v>
      </c>
      <c r="F22" s="33"/>
      <c r="G22" s="33"/>
      <c r="H22" s="33"/>
      <c r="I22" s="33"/>
    </row>
    <row r="23" spans="2:10" ht="12.75">
      <c r="B23" s="1085" t="s">
        <v>2023</v>
      </c>
      <c r="C23" s="1086"/>
      <c r="D23" s="1087">
        <f>PREISE!M1618</f>
        <v>16.4803</v>
      </c>
      <c r="E23" s="1088"/>
      <c r="F23" s="33"/>
      <c r="G23" s="33"/>
      <c r="H23" s="33"/>
      <c r="I23" s="33"/>
      <c r="J23" s="3"/>
    </row>
    <row r="24" spans="4:10" ht="12.75">
      <c r="D24" s="88"/>
      <c r="E24" s="88"/>
      <c r="F24" s="33"/>
      <c r="G24" s="33"/>
      <c r="H24" s="33"/>
      <c r="I24" s="33"/>
      <c r="J24" s="3"/>
    </row>
    <row r="25" spans="4:10" ht="12.75">
      <c r="D25" s="88"/>
      <c r="E25" s="88"/>
      <c r="F25" s="33"/>
      <c r="G25" s="33"/>
      <c r="H25" s="33"/>
      <c r="I25" s="33"/>
      <c r="J25" s="3"/>
    </row>
    <row r="26" spans="4:10" ht="12.75">
      <c r="D26" s="88"/>
      <c r="E26" s="88"/>
      <c r="F26" s="33"/>
      <c r="G26" s="33"/>
      <c r="H26" s="33"/>
      <c r="I26" s="33"/>
      <c r="J26" s="3"/>
    </row>
    <row r="27" spans="4:9" ht="12.75">
      <c r="D27" s="88"/>
      <c r="E27" s="88"/>
      <c r="F27" s="33"/>
      <c r="G27" s="33"/>
      <c r="H27" s="33"/>
      <c r="I27" s="33"/>
    </row>
    <row r="28" spans="4:9" ht="12.75">
      <c r="D28" s="88"/>
      <c r="E28" s="88"/>
      <c r="F28" s="33"/>
      <c r="G28" s="33"/>
      <c r="H28" s="33"/>
      <c r="I28" s="33"/>
    </row>
    <row r="29" spans="4:9" ht="12.75">
      <c r="D29" s="88"/>
      <c r="E29" s="88"/>
      <c r="F29" s="33"/>
      <c r="G29" s="33"/>
      <c r="H29" s="33"/>
      <c r="I29" s="33"/>
    </row>
    <row r="30" spans="4:9" ht="12.75">
      <c r="D30" s="88"/>
      <c r="E30" s="88"/>
      <c r="F30" s="33"/>
      <c r="G30" s="33"/>
      <c r="H30" s="33"/>
      <c r="I30" s="33"/>
    </row>
  </sheetData>
  <sheetProtection/>
  <mergeCells count="3">
    <mergeCell ref="B2:E2"/>
    <mergeCell ref="B13:E13"/>
    <mergeCell ref="F2:G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2"/>
  <sheetViews>
    <sheetView zoomScale="190" zoomScaleNormal="190" zoomScalePageLayoutView="0" workbookViewId="0" topLeftCell="B1">
      <selection activeCell="E14" sqref="E14"/>
    </sheetView>
  </sheetViews>
  <sheetFormatPr defaultColWidth="11.421875" defaultRowHeight="12.75"/>
  <cols>
    <col min="1" max="1" width="2.7109375" style="0" bestFit="1" customWidth="1"/>
    <col min="2" max="2" width="21.140625" style="4" customWidth="1"/>
    <col min="3" max="3" width="4.140625" style="0" customWidth="1"/>
    <col min="4" max="4" width="6.140625" style="0" customWidth="1"/>
    <col min="5" max="5" width="7.8515625" style="0" customWidth="1"/>
    <col min="6" max="6" width="2.7109375" style="0" bestFit="1" customWidth="1"/>
    <col min="7" max="7" width="14.00390625" style="0" bestFit="1" customWidth="1"/>
    <col min="8" max="8" width="9.140625" style="0" bestFit="1" customWidth="1"/>
    <col min="9" max="9" width="6.140625" style="0" customWidth="1"/>
    <col min="10" max="10" width="9.140625" style="0" bestFit="1" customWidth="1"/>
    <col min="11" max="11" width="2.7109375" style="0" bestFit="1" customWidth="1"/>
  </cols>
  <sheetData>
    <row r="1" ht="12.75">
      <c r="B1" s="4" t="s">
        <v>2459</v>
      </c>
    </row>
    <row r="2" spans="1:10" s="1008" customFormat="1" ht="12.75">
      <c r="A2" s="1008" t="s">
        <v>560</v>
      </c>
      <c r="B2" s="1618" t="s">
        <v>107</v>
      </c>
      <c r="C2" s="1616"/>
      <c r="D2" s="1616"/>
      <c r="E2" s="1617"/>
      <c r="F2" s="1008" t="s">
        <v>560</v>
      </c>
      <c r="G2" s="1615" t="s">
        <v>109</v>
      </c>
      <c r="H2" s="1619"/>
      <c r="I2" s="1619"/>
      <c r="J2" s="1620"/>
    </row>
    <row r="3" spans="1:10" s="1008" customFormat="1" ht="12.75">
      <c r="A3" s="1008" t="s">
        <v>108</v>
      </c>
      <c r="B3" s="1046"/>
      <c r="C3" s="1037" t="s">
        <v>645</v>
      </c>
      <c r="D3" s="1037" t="s">
        <v>2902</v>
      </c>
      <c r="E3" s="1038" t="s">
        <v>1603</v>
      </c>
      <c r="F3" s="1008" t="s">
        <v>108</v>
      </c>
      <c r="G3" s="1064"/>
      <c r="H3" s="1055" t="s">
        <v>145</v>
      </c>
      <c r="I3" s="1055" t="s">
        <v>2902</v>
      </c>
      <c r="J3" s="1063" t="s">
        <v>2917</v>
      </c>
    </row>
    <row r="4" spans="2:10" ht="12.75">
      <c r="B4" s="1047" t="s">
        <v>256</v>
      </c>
      <c r="C4" s="286">
        <v>9</v>
      </c>
      <c r="D4" s="286">
        <v>2</v>
      </c>
      <c r="E4" s="1048">
        <f>C4*D4*10</f>
        <v>180</v>
      </c>
      <c r="G4" s="1047" t="s">
        <v>2918</v>
      </c>
      <c r="H4" s="1056">
        <f>PREISE!M2328</f>
        <v>22.5</v>
      </c>
      <c r="I4" s="1057">
        <v>2</v>
      </c>
      <c r="J4" s="1058">
        <f>H4/(I4/100)/1000</f>
        <v>1.125</v>
      </c>
    </row>
    <row r="5" spans="2:10" ht="12.75">
      <c r="B5" s="1047" t="s">
        <v>2930</v>
      </c>
      <c r="C5" s="286">
        <v>6</v>
      </c>
      <c r="D5" s="286">
        <v>2</v>
      </c>
      <c r="E5" s="1048">
        <f>C5*D5*10</f>
        <v>120</v>
      </c>
      <c r="G5" s="1047" t="s">
        <v>2919</v>
      </c>
      <c r="H5" s="1059">
        <f>PREISE!M46*1000</f>
        <v>120</v>
      </c>
      <c r="I5" s="286">
        <v>3.4</v>
      </c>
      <c r="J5" s="1060">
        <f>H5/(I5/100)/1000</f>
        <v>3.529411764705882</v>
      </c>
    </row>
    <row r="6" spans="2:10" ht="12.75">
      <c r="B6" s="1047" t="s">
        <v>2931</v>
      </c>
      <c r="C6" s="286">
        <v>3</v>
      </c>
      <c r="D6" s="286">
        <v>3</v>
      </c>
      <c r="E6" s="1048">
        <f>C6*D6*10</f>
        <v>90</v>
      </c>
      <c r="G6" s="1047" t="s">
        <v>3005</v>
      </c>
      <c r="H6" s="1059" t="e">
        <f>PREISE!#REF!</f>
        <v>#REF!</v>
      </c>
      <c r="I6" s="286">
        <v>3</v>
      </c>
      <c r="J6" s="1060" t="e">
        <f>H6/(I6/100)/1000</f>
        <v>#REF!</v>
      </c>
    </row>
    <row r="7" spans="2:10" ht="12.75">
      <c r="B7" s="1047" t="s">
        <v>1601</v>
      </c>
      <c r="C7" s="286">
        <v>1</v>
      </c>
      <c r="D7" s="286">
        <v>3.4</v>
      </c>
      <c r="E7" s="1048">
        <f>C7*D7*10</f>
        <v>34</v>
      </c>
      <c r="G7" s="1049" t="s">
        <v>2920</v>
      </c>
      <c r="H7" s="1061">
        <f>PREISE!M1637</f>
        <v>11.98</v>
      </c>
      <c r="I7" s="217">
        <v>3</v>
      </c>
      <c r="J7" s="1062">
        <f>H7/(I7/100)/1000</f>
        <v>0.3993333333333334</v>
      </c>
    </row>
    <row r="8" spans="2:5" ht="12.75">
      <c r="B8" s="1049" t="s">
        <v>1602</v>
      </c>
      <c r="C8" s="1050">
        <v>3</v>
      </c>
      <c r="D8" s="217">
        <v>3.4</v>
      </c>
      <c r="E8" s="1051">
        <f>C8*D8*10</f>
        <v>102</v>
      </c>
    </row>
    <row r="11" spans="2:4" ht="12.75">
      <c r="B11" s="4" t="s">
        <v>1021</v>
      </c>
      <c r="D11" t="s">
        <v>1022</v>
      </c>
    </row>
    <row r="12" spans="2:4" ht="12.75">
      <c r="B12" s="4" t="s">
        <v>1023</v>
      </c>
      <c r="D12" t="s">
        <v>1024</v>
      </c>
    </row>
  </sheetData>
  <sheetProtection/>
  <mergeCells count="2">
    <mergeCell ref="B2:E2"/>
    <mergeCell ref="G2:J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Wien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Polyglycerin-Polyricinoleat – Wikipedia</dc:title>
  <dc:subject/>
  <dc:creator>Institut für Soziologie</dc:creator>
  <cp:keywords/>
  <dc:description/>
  <cp:lastModifiedBy>wda</cp:lastModifiedBy>
  <cp:lastPrinted>2023-05-04T17:20:22Z</cp:lastPrinted>
  <dcterms:created xsi:type="dcterms:W3CDTF">2001-01-14T16:07:18Z</dcterms:created>
  <dcterms:modified xsi:type="dcterms:W3CDTF">2023-12-19T13:36:13Z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